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19" activeTab="0"/>
  </bookViews>
  <sheets>
    <sheet name="งบดุลส่วนบุคคล" sheetId="1" r:id="rId1"/>
    <sheet name="งบกระแสเงินสด" sheetId="2" r:id="rId2"/>
    <sheet name="อัตราส่วนทางการเงิน" sheetId="3" r:id="rId3"/>
    <sheet name="การจัดการหนี้สิน" sheetId="4" r:id="rId4"/>
    <sheet name="การจัดการความเสี่ยง" sheetId="5" r:id="rId5"/>
    <sheet name="การวางแผนเกษียณ" sheetId="6" r:id="rId6"/>
    <sheet name="การวางแผนการศึกษาบุตร" sheetId="7" r:id="rId7"/>
    <sheet name="การวางแผนภาษี" sheetId="8" r:id="rId8"/>
  </sheets>
  <definedNames>
    <definedName name="ROI">'การวางแผนเกษียณ'!$C$10</definedName>
  </definedNames>
  <calcPr fullCalcOnLoad="1"/>
</workbook>
</file>

<file path=xl/sharedStrings.xml><?xml version="1.0" encoding="utf-8"?>
<sst xmlns="http://schemas.openxmlformats.org/spreadsheetml/2006/main" count="316" uniqueCount="270">
  <si>
    <t>สินทรัพย์สภาพคล่อง</t>
  </si>
  <si>
    <t>สินทรัพย์</t>
  </si>
  <si>
    <t>รายการ</t>
  </si>
  <si>
    <t>มูลค่า</t>
  </si>
  <si>
    <t>%</t>
  </si>
  <si>
    <t>เงินสด</t>
  </si>
  <si>
    <t>บัญชีเงินฝากออมทรัพย์</t>
  </si>
  <si>
    <t>บัญชีเงินฝากประจำ</t>
  </si>
  <si>
    <t>กองทุนตลาดเงิน, กองทุนตราสารหนี้</t>
  </si>
  <si>
    <t>อื่นๆ</t>
  </si>
  <si>
    <t>รวมสินทรัพย์สภาพคล่อง</t>
  </si>
  <si>
    <t>สินทรัพย์เพื่อการลงทุน</t>
  </si>
  <si>
    <t>พันธบัตร, หุ้นกู้</t>
  </si>
  <si>
    <t>หุ้นบุริมสิทธิ์</t>
  </si>
  <si>
    <t>หุ้นสามัญ</t>
  </si>
  <si>
    <t>กองทุนรวม</t>
  </si>
  <si>
    <t>LTF</t>
  </si>
  <si>
    <t>RMF</t>
  </si>
  <si>
    <t>กองทุนสำรองเลี้ยงชีพ</t>
  </si>
  <si>
    <t>เงินออมเพื่อวัยเกษียณอื่นๆ</t>
  </si>
  <si>
    <t>มูลค่าเงินสดกรมธรรม์ประกันชีวิต</t>
  </si>
  <si>
    <t>อสังหาริมทรัพย์</t>
  </si>
  <si>
    <t>หุ้นในบริษัทที่เป็นเจ้าของ</t>
  </si>
  <si>
    <t>ทองคำ</t>
  </si>
  <si>
    <t>อื่นๆ (1)</t>
  </si>
  <si>
    <t>อื่นๆ (2)</t>
  </si>
  <si>
    <t>รวมสินทรัพย์เพื่อการลงทุน</t>
  </si>
  <si>
    <t>สินทรัพย์ใช้ส่วนตัว หรือสินทรัพย์มีค่า</t>
  </si>
  <si>
    <t>เครื่องประดับ</t>
  </si>
  <si>
    <t>รถยนต์</t>
  </si>
  <si>
    <t>บ้าน</t>
  </si>
  <si>
    <t>ของสะสมอื่นๆ</t>
  </si>
  <si>
    <t>รวมสินทรัพย์ใช้ส่วนตัว หรือสินทรัพย์มีค่า</t>
  </si>
  <si>
    <t>สินทรัพย์ไม่มีตัวตน</t>
  </si>
  <si>
    <t>ลิขสิทธิ์</t>
  </si>
  <si>
    <t>สิทธิบัตร</t>
  </si>
  <si>
    <t>รวมสินทรัพย์ไม่มีตัวตน</t>
  </si>
  <si>
    <t>หนี้สิน</t>
  </si>
  <si>
    <t>ค่าสาธารณูปโภคค้างจ่าย</t>
  </si>
  <si>
    <t>ยอดคงค้างหนี้สินบัตรเครดิต</t>
  </si>
  <si>
    <t>หนี้สินเงินกู้ระยะสั้นอื่นๆ</t>
  </si>
  <si>
    <t>หนี้สินระยะสั้น (น้อยกว่า 2 ปี)</t>
  </si>
  <si>
    <t>รวมหนี้สินระยะสั้น</t>
  </si>
  <si>
    <t>หนี้สินระยะยาว</t>
  </si>
  <si>
    <t>ยอดคงค้างเงินกู้ยืมซื้อรถยนต์</t>
  </si>
  <si>
    <t>ยอดคงค้างเงินกู้ยืมซื้อบ้าน</t>
  </si>
  <si>
    <t>หนี้สินเงินกู้ระยะยาวอื่นๆ</t>
  </si>
  <si>
    <t>รวมหนี้สินระยะยาว</t>
  </si>
  <si>
    <t>รวมหนี้สินทั้งหมด</t>
  </si>
  <si>
    <t>รวมสินทรัพย์ทั้งหมด</t>
  </si>
  <si>
    <t>ความมั่งคั่งสุทธิ</t>
  </si>
  <si>
    <t>งบดุลส่วนบุคคล</t>
  </si>
  <si>
    <t>ณ ปี</t>
  </si>
  <si>
    <t>(หน่วย: บาท)</t>
  </si>
  <si>
    <t>เงินเดือน, ค่าจ้าง, commission</t>
  </si>
  <si>
    <t>โบนัส, อื่นๆ</t>
  </si>
  <si>
    <t>ภาษีได้คืน</t>
  </si>
  <si>
    <t>รายได้จากทรัพย์สิน</t>
  </si>
  <si>
    <t>เงินออมสำรองฉุกเฉิน</t>
  </si>
  <si>
    <t>เงินออมเพื่อค่าใช้จ่ายต่างๆ</t>
  </si>
  <si>
    <t>เงินออมเพื่อลงทุนเก็งกำไร</t>
  </si>
  <si>
    <t>ซื้อ LTF</t>
  </si>
  <si>
    <t>ซื้อ หุ้นกู้</t>
  </si>
  <si>
    <t>ซื้อ พันธบัตร</t>
  </si>
  <si>
    <t>ซื้อ กองทุนรวมอื่นๆ</t>
  </si>
  <si>
    <t>เงินออมเพื่อเกษียณ</t>
  </si>
  <si>
    <t>เงินออมเพื่อการศึกษาบุตร</t>
  </si>
  <si>
    <t>เงินออมในสหกรณ์</t>
  </si>
  <si>
    <t>ซื้อ ประกัน (ออมทรัพย์, ลงทุน)</t>
  </si>
  <si>
    <t>ซื้อ ประกันบำนาญ</t>
  </si>
  <si>
    <t>ซื้อ RMF</t>
  </si>
  <si>
    <t>เข้ากองทุนสำรองเลี้ยงชีพ</t>
  </si>
  <si>
    <t>กบข. (ราชการ)</t>
  </si>
  <si>
    <t>ผ่อนสินค้า</t>
  </si>
  <si>
    <t>ผ่อนรถยนต์</t>
  </si>
  <si>
    <t>ผ่อนบ้าน</t>
  </si>
  <si>
    <t>สินเชื่อส่วนบุคคล</t>
  </si>
  <si>
    <t>ประกันสุขภาพและอุบัติเหตุ</t>
  </si>
  <si>
    <t>ค่าน้ำ,ไฟ,โทรศัพท์,เน็ท</t>
  </si>
  <si>
    <t>บัตรเครดิต</t>
  </si>
  <si>
    <t>อุปการะเลี้ยงดูคนในครอบครัว</t>
  </si>
  <si>
    <t>ค่าใช้จ่ายในชีวิตประจำวัน</t>
  </si>
  <si>
    <t>ค่าน้ำมัน/ค่าเดินทาง</t>
  </si>
  <si>
    <t>ค่าใช้จ่ายทั่วไปอื่นๆ</t>
  </si>
  <si>
    <t>กระแสเงินสดรับ</t>
  </si>
  <si>
    <t>กระแสเงินสดจ่าย</t>
  </si>
  <si>
    <t>เงินออมระยะสั้น</t>
  </si>
  <si>
    <t>เงินออมระยะกลาง</t>
  </si>
  <si>
    <t>เงินออมระยะยาว</t>
  </si>
  <si>
    <t>กระแสเงินสดจ่ายเพื่อการออม</t>
  </si>
  <si>
    <t>กระแสเงินสดจ่ายคงที่</t>
  </si>
  <si>
    <t>กระแสเงินสดจ่ายผันแปร</t>
  </si>
  <si>
    <t>จำนวน/เดือน</t>
  </si>
  <si>
    <t>กระแสเงินสดสุทธิ</t>
  </si>
  <si>
    <t>% ของรายรับ</t>
  </si>
  <si>
    <r>
      <rPr>
        <b/>
        <u val="single"/>
        <sz val="12"/>
        <color indexed="8"/>
        <rFont val="Calibri"/>
        <family val="2"/>
      </rPr>
      <t>งบกระแสเงินสด</t>
    </r>
    <r>
      <rPr>
        <b/>
        <sz val="12"/>
        <color indexed="8"/>
        <rFont val="Calibri"/>
        <family val="2"/>
      </rPr>
      <t xml:space="preserve"> ณ รอบปี</t>
    </r>
  </si>
  <si>
    <t>อัตราส่วนทางการเงิน</t>
  </si>
  <si>
    <t>อัตราส่วนสินทรัพย์สภาพคล่อง ต่อความมั่งคั่งสุทธิ</t>
  </si>
  <si>
    <t>การวิเคราะห์สภาพคล่อง</t>
  </si>
  <si>
    <t>เกณฑ์มาตรฐาน</t>
  </si>
  <si>
    <t>ผลการคำนวณ</t>
  </si>
  <si>
    <t>3 - 6 เท่า</t>
  </si>
  <si>
    <t>สภาพคล่องพื้นฐาน (3 - 6 เท่า ของรายจ่ายต่อเดือน)</t>
  </si>
  <si>
    <t>การวิเคราะห์หนี้สิน</t>
  </si>
  <si>
    <t>อัตราส่วนหนี้สินต่อสินทรัพย์</t>
  </si>
  <si>
    <t>&lt; 50%</t>
  </si>
  <si>
    <t>อัตราส่วนแสดงการชำระหนี้สินจากรายได้</t>
  </si>
  <si>
    <t>&lt; 35 - 45%</t>
  </si>
  <si>
    <t>อัตราส่วนการชำระคืนหนี้สินที่ไม่ใช่การจดจำนองจากรายได้</t>
  </si>
  <si>
    <t>&lt; 15 - 20%</t>
  </si>
  <si>
    <t>การวิเคราะห์การออมและการลงทุน</t>
  </si>
  <si>
    <t>อัตราส่วนการออม</t>
  </si>
  <si>
    <t>&gt; 10%</t>
  </si>
  <si>
    <t>อัตราส่วนการลงทุน</t>
  </si>
  <si>
    <t>&gt; 50%</t>
  </si>
  <si>
    <t>การวิเคราะห์การใช้จ่ายต่อรายรับ</t>
  </si>
  <si>
    <t>อัตราส่วนค่าใช้จ่าย/รายรับ</t>
  </si>
  <si>
    <t>&lt; 70%</t>
  </si>
  <si>
    <t>หนี้สินที่ไม่จดจำนอง</t>
  </si>
  <si>
    <t>หนี้สินที่จดจำนอง</t>
  </si>
  <si>
    <t>วิเคราะห์</t>
  </si>
  <si>
    <t>รายการหนี้สิน</t>
  </si>
  <si>
    <t>อัตราดอกเบี้ยต่อปี</t>
  </si>
  <si>
    <t>ยอดชำระต่อเดือน</t>
  </si>
  <si>
    <t>ระยะเวลาที่เหลือ (เดือน)</t>
  </si>
  <si>
    <t>ยอดหนี้คงเหลือ</t>
  </si>
  <si>
    <t>รวม</t>
  </si>
  <si>
    <t>การวางแผนจัดการหนี้สิน</t>
  </si>
  <si>
    <t>ตารางประเมินความเสี่ยง
และวิธีการจัดการ</t>
  </si>
  <si>
    <t>ระดับความรุนแรงของความสูญเสีย</t>
  </si>
  <si>
    <t>มาก</t>
  </si>
  <si>
    <t>น้อย</t>
  </si>
  <si>
    <t>โอกาสในการเกิดความเสี่ยง</t>
  </si>
  <si>
    <t>สูง</t>
  </si>
  <si>
    <t>หลีกเลี่ยงความเสี่ยง
ลดและควบคุมความเสี่ยง</t>
  </si>
  <si>
    <t>รับความเสี่ยงไว้เอง
ลดและควบคุมความเสี่ยง</t>
  </si>
  <si>
    <t>ต่ำ</t>
  </si>
  <si>
    <t>โอนความเสี่ยง</t>
  </si>
  <si>
    <t>รับความเสี่ยงไว้เอง</t>
  </si>
  <si>
    <t>เหตุการความเสี่ยง</t>
  </si>
  <si>
    <t>ความรุนแรง</t>
  </si>
  <si>
    <t>โอกาสเกิด</t>
  </si>
  <si>
    <t>แนวทางการจัดการ</t>
  </si>
  <si>
    <t>เลี่ยง</t>
  </si>
  <si>
    <t>ควบคุม</t>
  </si>
  <si>
    <t>รับเอง</t>
  </si>
  <si>
    <t>โอน</t>
  </si>
  <si>
    <t>ด้านชีวิตและสุขภาพ</t>
  </si>
  <si>
    <t>เสียชีวิต</t>
  </si>
  <si>
    <t>เจ็บป่วยร้ายแรง</t>
  </si>
  <si>
    <t>ทุพลภาพ</t>
  </si>
  <si>
    <t>ประสบอุบัติเหตุ</t>
  </si>
  <si>
    <t>ด้านทรัพย์สิน</t>
  </si>
  <si>
    <t>อัคคีภัย</t>
  </si>
  <si>
    <t>น้ำท่วม</t>
  </si>
  <si>
    <t>โจรกรรมทรัพย์สิน</t>
  </si>
  <si>
    <t>ความเสียหายต่อรถยนต์</t>
  </si>
  <si>
    <t>ด้านอื่นๆ</t>
  </si>
  <si>
    <t>การรักษาพยาบาลบุคคลในครอบครัว</t>
  </si>
  <si>
    <t>การวางแผนทุนประกันชีวิต</t>
  </si>
  <si>
    <t>ประเภทค่าใช้จ่าย</t>
  </si>
  <si>
    <t>จำนวนเงิน</t>
  </si>
  <si>
    <t>1. ค่าใช้จ่ายครั้งสุดท้าย</t>
  </si>
  <si>
    <t>ค่าฌาปณกิจ</t>
  </si>
  <si>
    <t>2. ภาระหนี้สิน (รวมถึงทรัพย์สินต่างๆ
ที่ยังติดจำนอง แต่ต้องการส่งมอบ
ให้คนข้างหลัง)</t>
  </si>
  <si>
    <t>3. ค่าใช้จ่ายในอนาคต</t>
  </si>
  <si>
    <t>ค่าเลี้ยงดูพ่อแม่</t>
  </si>
  <si>
    <t xml:space="preserve">ค่าใช้จ่ายรวม </t>
  </si>
  <si>
    <t>การวางแผนกรณีทุพพลภาพ</t>
  </si>
  <si>
    <t>ปี</t>
  </si>
  <si>
    <t>ค่าใช้จ่ายต่อเดือน</t>
  </si>
  <si>
    <t>รวมเป็นเงิน</t>
  </si>
  <si>
    <t>ค่าเลี้ยงดูตัวเอง</t>
  </si>
  <si>
    <t>การวางแผนกรณีโรคร้ายแรง</t>
  </si>
  <si>
    <t>ค่าเลี้ยงดูบุตร และภรรยา</t>
  </si>
  <si>
    <t>สิ่งที่เตรียมไว้แล้ว</t>
  </si>
  <si>
    <t>ประกันชีวิต</t>
  </si>
  <si>
    <t>ทรัพย์สิน</t>
  </si>
  <si>
    <t>รวมเตรียมไว้ทั้งหมด</t>
  </si>
  <si>
    <t>ทุนประกันชีวิตที่ต้องเตรียมเพิ่ม</t>
  </si>
  <si>
    <t>ค่าเลี้ยงดูคนในครอบครัว</t>
  </si>
  <si>
    <t>ระยะเวลาที่ทุพลภาพ</t>
  </si>
  <si>
    <t>ประกันทุพลภาพ</t>
  </si>
  <si>
    <t>ต้องเตรียมเพิ่ม</t>
  </si>
  <si>
    <t>ค่ารักษาโรคร้ายแรง</t>
  </si>
  <si>
    <t>ค่าชดเชยรายได้จากการหยุดทำงาน</t>
  </si>
  <si>
    <t>รายการค่าใช้จ่าย</t>
  </si>
  <si>
    <t>จำนวน</t>
  </si>
  <si>
    <t>ประกันโรคร้ายแรง</t>
  </si>
  <si>
    <t>(เฉพาะส่วนที่เตรียมไว้สำหรับกรณีเสียชีวิต)</t>
  </si>
  <si>
    <t>(เฉพาะส่วนที่เตรียมไว้สำหรับกรณีทุพลภาพ)</t>
  </si>
  <si>
    <t>(เฉพาะส่วนที่เตรียมไว้สำหรับกรณีโรคร้ายแรง)</t>
  </si>
  <si>
    <t>การวางแผนประกันสุขภาพและอุบัติเหตุ</t>
  </si>
  <si>
    <t>ค่ารักษาสูงสุดต่อครั้งโดยประมาณ</t>
  </si>
  <si>
    <t>เตรียมไว้แล้ว</t>
  </si>
  <si>
    <t>ค่าห้องผู้ป่วยใน (บาท/วัน)</t>
  </si>
  <si>
    <t>ค่าชดเชยรายได้ (บาท/วัน)</t>
  </si>
  <si>
    <t>เงินเฟ้อ</t>
  </si>
  <si>
    <t>ผลตอบแทนคาดหวัง</t>
  </si>
  <si>
    <t>เป้าหมายเกษียณ ใช้จ่ายปีละ</t>
  </si>
  <si>
    <t>อายุเริ่มเก็บออม</t>
  </si>
  <si>
    <t>อายุเกษียณ</t>
  </si>
  <si>
    <t>ใช้เงินถึงอายุ</t>
  </si>
  <si>
    <t>เงินลงทุนแต่ละปี</t>
  </si>
  <si>
    <t>เงินลงทุนสะสม</t>
  </si>
  <si>
    <t>กำไร</t>
  </si>
  <si>
    <t>มูลค่าพอร์ต</t>
  </si>
  <si>
    <t>(ยังไม่รวมเงินเฟ้อ)</t>
  </si>
  <si>
    <t>(รวมเงินเฟ้อ)</t>
  </si>
  <si>
    <t>เป้าหมายเก็บเงินเกษียณ</t>
  </si>
  <si>
    <t>ต้องเก็บเงินปีละ</t>
  </si>
  <si>
    <t>เงินลงทุนแรกเริ่ม</t>
  </si>
  <si>
    <t>อายุ</t>
  </si>
  <si>
    <t>การวางแผนเกษียณ</t>
  </si>
  <si>
    <t>ตารางแจกแจง</t>
  </si>
  <si>
    <t>การวางแผนการศึกษาบุตร</t>
  </si>
  <si>
    <t>เงินเฟ้อการศึกษา</t>
  </si>
  <si>
    <t>อายุบุตรที่เริ่มเก็บออม</t>
  </si>
  <si>
    <t>อายุบุตร ณ เข้าปริญญาตรี</t>
  </si>
  <si>
    <t>อายุบุตร ณ จบการศึกษา</t>
  </si>
  <si>
    <t>ค่าเล่าเรียนและค่าใช้จ่ายรายปี</t>
  </si>
  <si>
    <t>รายได้</t>
  </si>
  <si>
    <t>หักค่าลดหย่อน</t>
  </si>
  <si>
    <t>คู่สมรส (30,000)</t>
  </si>
  <si>
    <t>ผู้มีเงินได้ (30,000)</t>
  </si>
  <si>
    <t>บุตรที่ไม่ได้ศึกษา หรือศึกษาต่างประเทศ (คนละ 15,000)</t>
  </si>
  <si>
    <t>บุตรที่ศึกษาภายในประเทศ (คนละ 17,000)</t>
  </si>
  <si>
    <t>ค่าดูแลบิดามารดา (คนละ 30,000)</t>
  </si>
  <si>
    <t>ค่าดูแลคนพิการ (คนละ 60,000)</t>
  </si>
  <si>
    <t>เบี้ยประกันชีวิต (ไม่เกิน 100,000)</t>
  </si>
  <si>
    <t>เบี้ยประกันชีวิตคู่สมรสที่ไม่มีเงินได้ (ไม่เกิน 10,000)</t>
  </si>
  <si>
    <t>เบี้ยประกันบำนาญ (ไม่เกิน 200,000 และ 15% ของเงินได้)</t>
  </si>
  <si>
    <t>กองทุนสำรองเลี้ยงชีพ (ไม่เกิน 15% ของเงินได้)</t>
  </si>
  <si>
    <t>กบข. (ตามจริง)</t>
  </si>
  <si>
    <t>ประกันสุขภาพของบิดามารดา และของบิดามารดาคู่สมรสที่ไม่มีเงินได้ (ไม่เกิน 15,000)</t>
  </si>
  <si>
    <t>RMF (ไม่เกิน 15% ของเงินได้)</t>
  </si>
  <si>
    <t>LTF (ไม่เกิน 15% ของเงินได้ และไม่เกิน 500,000)</t>
  </si>
  <si>
    <t>เงินสะสมกองทุนสงเคราะห์ครูโรงเรียนเอกชน (ตามจริง)</t>
  </si>
  <si>
    <t>รวมกันไม่เกิน 500,000</t>
  </si>
  <si>
    <t>เงินชดเชยตามกฏหมายคุ้มครองแรงงาน (ไม่เกิน 300,000)</t>
  </si>
  <si>
    <t>ดอกเบี้ยเงินกู้ยืมเพื่อกู้ซื้อที่อยู่อาศัย (ไม่เกิน 100,000)</t>
  </si>
  <si>
    <t>เงินสมทบกองทุนประกันสังคม (ไม่เกิน 9,000)</t>
  </si>
  <si>
    <t>เงินบริจาค (ไม่เกิน 10% ของเงินได้ หลังหักค่าใช้จ่ายและค่าลดหย่อน)</t>
  </si>
  <si>
    <t>เงินได้สุทธิก่อนหักเงินบริจาค</t>
  </si>
  <si>
    <t>(4) ดอกเบี้ย และเงินปันผล</t>
  </si>
  <si>
    <t>(5) ค่าเช่าทรัพย์สิน บ้าน รถยนต์</t>
  </si>
  <si>
    <t>(6.1) ค่าวิชาชีพอิสระ แพทย์ วิศวะ สถาปัตย์ บัญชี นักแสดง</t>
  </si>
  <si>
    <t>(6.2) ค่าวิชาชีพอิสระอื่นๆ</t>
  </si>
  <si>
    <t>(7) รับเหมาก่อสร้าง</t>
  </si>
  <si>
    <t>รายได้หลังหักค่าใช้จ่าย</t>
  </si>
  <si>
    <t>(8) รับจ้าง หรือบริการอื่นๆ (หักได้ 61-85% ต้องดูตาราง)</t>
  </si>
  <si>
    <t>เงินได้สุทธิ</t>
  </si>
  <si>
    <t>รายได้หลังหักค่าลดหย่อน</t>
  </si>
  <si>
    <t>ฐาน 10% (300,000 ถึง 500,000)</t>
  </si>
  <si>
    <t>ฐาน 15% (500,000 ถึง 750,000)</t>
  </si>
  <si>
    <t>ฐาน 20% (750,000 ถึง 1,000,000)</t>
  </si>
  <si>
    <t>ฐาน 25% (1,000,000 ถึง 2,000,000)</t>
  </si>
  <si>
    <t>ฐาน 30% (2,000,000 ถึง 4,000,000)</t>
  </si>
  <si>
    <t>ฐาน 35% (เกิน 4,000,000)</t>
  </si>
  <si>
    <t>ฐานภาษี</t>
  </si>
  <si>
    <t>จำนวนเงินภาษี</t>
  </si>
  <si>
    <t>ฐาน 5% (150,000 ถึง 300,000)</t>
  </si>
  <si>
    <t>ใช้สิทธิ์ได้อีก</t>
  </si>
  <si>
    <t>การคำนวณภาษีเงินได้บุคคลธรรมดา</t>
  </si>
  <si>
    <t>ทำเพิ่มได้อีก</t>
  </si>
  <si>
    <t>ค่าใช้จ่ายที่หักได้</t>
  </si>
  <si>
    <t>จำนวนรายได้ก่อนหักค่าใช้จ่าย</t>
  </si>
  <si>
    <t>จำนวนลดหย่อน</t>
  </si>
  <si>
    <t>(3) ค่าลิขสิทธิ์ (หักค่าใช้จ่ายไม่เกิน 60,000)</t>
  </si>
  <si>
    <t>(1) เงินเดือน เบี้ยเลี้ยง โบนัส (หักค่าใช้จ่ายไม่เกิน 60,000)
(2) ค่าธรรมเนียม ค่านายหน้า (คิดรวมกับหมวด(1) 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</si>
</sst>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[$-409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10" xfId="0" applyNumberFormat="1" applyBorder="1" applyAlignment="1">
      <alignment/>
    </xf>
    <xf numFmtId="38" fontId="0" fillId="0" borderId="20" xfId="0" applyNumberFormat="1" applyBorder="1" applyAlignment="1">
      <alignment/>
    </xf>
    <xf numFmtId="0" fontId="0" fillId="9" borderId="10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38" fontId="42" fillId="15" borderId="21" xfId="0" applyNumberFormat="1" applyFont="1" applyFill="1" applyBorder="1" applyAlignment="1">
      <alignment/>
    </xf>
    <xf numFmtId="38" fontId="43" fillId="16" borderId="21" xfId="0" applyNumberFormat="1" applyFont="1" applyFill="1" applyBorder="1" applyAlignment="1">
      <alignment/>
    </xf>
    <xf numFmtId="38" fontId="0" fillId="9" borderId="10" xfId="0" applyNumberFormat="1" applyFill="1" applyBorder="1" applyAlignment="1">
      <alignment/>
    </xf>
    <xf numFmtId="38" fontId="0" fillId="12" borderId="10" xfId="0" applyNumberFormat="1" applyFill="1" applyBorder="1" applyAlignment="1">
      <alignment/>
    </xf>
    <xf numFmtId="38" fontId="0" fillId="18" borderId="10" xfId="0" applyNumberFormat="1" applyFill="1" applyBorder="1" applyAlignment="1">
      <alignment/>
    </xf>
    <xf numFmtId="38" fontId="0" fillId="0" borderId="11" xfId="0" applyNumberFormat="1" applyBorder="1" applyAlignment="1">
      <alignment/>
    </xf>
    <xf numFmtId="38" fontId="0" fillId="0" borderId="13" xfId="0" applyNumberFormat="1" applyBorder="1" applyAlignment="1">
      <alignment/>
    </xf>
    <xf numFmtId="38" fontId="43" fillId="7" borderId="22" xfId="0" applyNumberFormat="1" applyFont="1" applyFill="1" applyBorder="1" applyAlignment="1">
      <alignment/>
    </xf>
    <xf numFmtId="38" fontId="42" fillId="7" borderId="22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13" xfId="0" applyFont="1" applyBorder="1" applyAlignment="1" applyProtection="1">
      <alignment horizontal="left"/>
      <protection locked="0"/>
    </xf>
    <xf numFmtId="0" fontId="4" fillId="25" borderId="10" xfId="0" applyFont="1" applyFill="1" applyBorder="1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 horizontal="center"/>
      <protection locked="0"/>
    </xf>
    <xf numFmtId="0" fontId="4" fillId="24" borderId="10" xfId="0" applyFont="1" applyFill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4" fillId="0" borderId="19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16" borderId="19" xfId="0" applyFont="1" applyFill="1" applyBorder="1" applyAlignment="1" applyProtection="1">
      <alignment/>
      <protection locked="0"/>
    </xf>
    <xf numFmtId="0" fontId="4" fillId="9" borderId="19" xfId="0" applyFont="1" applyFill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22" borderId="10" xfId="0" applyFont="1" applyFill="1" applyBorder="1" applyAlignment="1" applyProtection="1">
      <alignment horizontal="left"/>
      <protection locked="0"/>
    </xf>
    <xf numFmtId="0" fontId="4" fillId="16" borderId="18" xfId="0" applyFont="1" applyFill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15" borderId="10" xfId="0" applyFont="1" applyFill="1" applyBorder="1" applyAlignment="1" applyProtection="1">
      <alignment/>
      <protection locked="0"/>
    </xf>
    <xf numFmtId="0" fontId="4" fillId="9" borderId="18" xfId="0" applyFont="1" applyFill="1" applyBorder="1" applyAlignment="1" applyProtection="1">
      <alignment/>
      <protection locked="0"/>
    </xf>
    <xf numFmtId="0" fontId="44" fillId="0" borderId="20" xfId="0" applyFont="1" applyBorder="1" applyAlignment="1" applyProtection="1">
      <alignment horizontal="left"/>
      <protection locked="0"/>
    </xf>
    <xf numFmtId="0" fontId="0" fillId="3" borderId="10" xfId="0" applyFill="1" applyBorder="1" applyAlignment="1">
      <alignment/>
    </xf>
    <xf numFmtId="164" fontId="0" fillId="18" borderId="10" xfId="0" applyNumberFormat="1" applyFill="1" applyBorder="1" applyAlignment="1">
      <alignment/>
    </xf>
    <xf numFmtId="164" fontId="0" fillId="36" borderId="18" xfId="0" applyNumberFormat="1" applyFill="1" applyBorder="1" applyAlignment="1">
      <alignment/>
    </xf>
    <xf numFmtId="164" fontId="0" fillId="36" borderId="19" xfId="0" applyNumberFormat="1" applyFill="1" applyBorder="1" applyAlignment="1">
      <alignment/>
    </xf>
    <xf numFmtId="164" fontId="0" fillId="36" borderId="20" xfId="0" applyNumberFormat="1" applyFill="1" applyBorder="1" applyAlignment="1">
      <alignment/>
    </xf>
    <xf numFmtId="164" fontId="0" fillId="16" borderId="10" xfId="0" applyNumberFormat="1" applyFill="1" applyBorder="1" applyAlignment="1">
      <alignment/>
    </xf>
    <xf numFmtId="164" fontId="0" fillId="9" borderId="10" xfId="0" applyNumberFormat="1" applyFill="1" applyBorder="1" applyAlignment="1">
      <alignment/>
    </xf>
    <xf numFmtId="164" fontId="25" fillId="37" borderId="18" xfId="0" applyNumberFormat="1" applyFont="1" applyFill="1" applyBorder="1" applyAlignment="1">
      <alignment/>
    </xf>
    <xf numFmtId="164" fontId="25" fillId="37" borderId="19" xfId="0" applyNumberFormat="1" applyFont="1" applyFill="1" applyBorder="1" applyAlignment="1">
      <alignment/>
    </xf>
    <xf numFmtId="164" fontId="25" fillId="37" borderId="20" xfId="0" applyNumberFormat="1" applyFont="1" applyFill="1" applyBorder="1" applyAlignment="1">
      <alignment/>
    </xf>
    <xf numFmtId="164" fontId="43" fillId="7" borderId="21" xfId="0" applyNumberFormat="1" applyFont="1" applyFill="1" applyBorder="1" applyAlignment="1">
      <alignment/>
    </xf>
    <xf numFmtId="164" fontId="43" fillId="7" borderId="22" xfId="0" applyNumberFormat="1" applyFont="1" applyFill="1" applyBorder="1" applyAlignment="1">
      <alignment/>
    </xf>
    <xf numFmtId="164" fontId="43" fillId="16" borderId="21" xfId="0" applyNumberFormat="1" applyFont="1" applyFill="1" applyBorder="1" applyAlignment="1">
      <alignment/>
    </xf>
    <xf numFmtId="164" fontId="42" fillId="7" borderId="21" xfId="0" applyNumberFormat="1" applyFont="1" applyFill="1" applyBorder="1" applyAlignment="1">
      <alignment/>
    </xf>
    <xf numFmtId="164" fontId="42" fillId="7" borderId="22" xfId="0" applyNumberFormat="1" applyFont="1" applyFill="1" applyBorder="1" applyAlignment="1">
      <alignment/>
    </xf>
    <xf numFmtId="164" fontId="42" fillId="15" borderId="21" xfId="0" applyNumberFormat="1" applyFont="1" applyFill="1" applyBorder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0" fontId="4" fillId="3" borderId="19" xfId="0" applyFont="1" applyFill="1" applyBorder="1" applyAlignment="1" applyProtection="1">
      <alignment horizontal="left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18" xfId="0" applyFill="1" applyBorder="1" applyAlignment="1">
      <alignment/>
    </xf>
    <xf numFmtId="0" fontId="0" fillId="16" borderId="18" xfId="0" applyFill="1" applyBorder="1" applyAlignment="1">
      <alignment horizontal="center"/>
    </xf>
    <xf numFmtId="0" fontId="0" fillId="16" borderId="18" xfId="0" applyFill="1" applyBorder="1" applyAlignment="1">
      <alignment/>
    </xf>
    <xf numFmtId="0" fontId="0" fillId="18" borderId="18" xfId="0" applyFill="1" applyBorder="1" applyAlignment="1">
      <alignment horizontal="center"/>
    </xf>
    <xf numFmtId="0" fontId="0" fillId="18" borderId="18" xfId="0" applyFill="1" applyBorder="1" applyAlignment="1">
      <alignment/>
    </xf>
    <xf numFmtId="0" fontId="0" fillId="19" borderId="19" xfId="0" applyFill="1" applyBorder="1" applyAlignment="1">
      <alignment horizontal="center"/>
    </xf>
    <xf numFmtId="0" fontId="0" fillId="19" borderId="19" xfId="0" applyFill="1" applyBorder="1" applyAlignment="1">
      <alignment/>
    </xf>
    <xf numFmtId="165" fontId="0" fillId="39" borderId="19" xfId="0" applyNumberFormat="1" applyFill="1" applyBorder="1" applyAlignment="1">
      <alignment/>
    </xf>
    <xf numFmtId="164" fontId="0" fillId="39" borderId="20" xfId="0" applyNumberFormat="1" applyFill="1" applyBorder="1" applyAlignment="1">
      <alignment/>
    </xf>
    <xf numFmtId="164" fontId="0" fillId="39" borderId="19" xfId="0" applyNumberFormat="1" applyFill="1" applyBorder="1" applyAlignment="1">
      <alignment/>
    </xf>
    <xf numFmtId="0" fontId="0" fillId="36" borderId="19" xfId="0" applyFill="1" applyBorder="1" applyAlignment="1">
      <alignment horizontal="center"/>
    </xf>
    <xf numFmtId="9" fontId="0" fillId="36" borderId="20" xfId="0" applyNumberForma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16" borderId="18" xfId="0" applyFont="1" applyFill="1" applyBorder="1" applyAlignment="1">
      <alignment/>
    </xf>
    <xf numFmtId="0" fontId="0" fillId="9" borderId="18" xfId="0" applyFont="1" applyFill="1" applyBorder="1" applyAlignment="1">
      <alignment/>
    </xf>
    <xf numFmtId="0" fontId="0" fillId="18" borderId="18" xfId="0" applyFont="1" applyFill="1" applyBorder="1" applyAlignment="1">
      <alignment/>
    </xf>
    <xf numFmtId="0" fontId="0" fillId="19" borderId="19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7" borderId="19" xfId="0" applyFill="1" applyBorder="1" applyAlignment="1">
      <alignment horizontal="left" indent="1"/>
    </xf>
    <xf numFmtId="0" fontId="0" fillId="37" borderId="20" xfId="0" applyFill="1" applyBorder="1" applyAlignment="1">
      <alignment horizontal="left" indent="1"/>
    </xf>
    <xf numFmtId="0" fontId="4" fillId="14" borderId="22" xfId="0" applyFont="1" applyFill="1" applyBorder="1" applyAlignment="1" applyProtection="1">
      <alignment horizontal="left"/>
      <protection locked="0"/>
    </xf>
    <xf numFmtId="164" fontId="0" fillId="35" borderId="22" xfId="0" applyNumberFormat="1" applyFill="1" applyBorder="1" applyAlignment="1">
      <alignment/>
    </xf>
    <xf numFmtId="38" fontId="0" fillId="16" borderId="10" xfId="0" applyNumberFormat="1" applyFill="1" applyBorder="1" applyAlignment="1">
      <alignment/>
    </xf>
    <xf numFmtId="38" fontId="0" fillId="36" borderId="18" xfId="0" applyNumberFormat="1" applyFill="1" applyBorder="1" applyAlignment="1">
      <alignment/>
    </xf>
    <xf numFmtId="38" fontId="0" fillId="36" borderId="19" xfId="0" applyNumberFormat="1" applyFill="1" applyBorder="1" applyAlignment="1">
      <alignment/>
    </xf>
    <xf numFmtId="38" fontId="0" fillId="35" borderId="22" xfId="0" applyNumberFormat="1" applyFill="1" applyBorder="1" applyAlignment="1">
      <alignment/>
    </xf>
    <xf numFmtId="0" fontId="0" fillId="35" borderId="10" xfId="0" applyFill="1" applyBorder="1" applyAlignment="1">
      <alignment horizontal="right"/>
    </xf>
    <xf numFmtId="38" fontId="0" fillId="34" borderId="10" xfId="0" applyNumberFormat="1" applyFill="1" applyBorder="1" applyAlignment="1">
      <alignment/>
    </xf>
    <xf numFmtId="38" fontId="0" fillId="36" borderId="10" xfId="0" applyNumberFormat="1" applyFill="1" applyBorder="1" applyAlignment="1">
      <alignment/>
    </xf>
    <xf numFmtId="10" fontId="0" fillId="0" borderId="19" xfId="0" applyNumberFormat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41" fillId="35" borderId="10" xfId="0" applyFont="1" applyFill="1" applyBorder="1" applyAlignment="1">
      <alignment horizontal="center"/>
    </xf>
    <xf numFmtId="0" fontId="41" fillId="17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0" fillId="15" borderId="23" xfId="0" applyFont="1" applyFill="1" applyBorder="1" applyAlignment="1">
      <alignment horizontal="center"/>
    </xf>
    <xf numFmtId="0" fontId="0" fillId="16" borderId="24" xfId="0" applyFont="1" applyFill="1" applyBorder="1" applyAlignment="1">
      <alignment horizontal="center"/>
    </xf>
    <xf numFmtId="0" fontId="0" fillId="15" borderId="24" xfId="0" applyFont="1" applyFill="1" applyBorder="1" applyAlignment="1">
      <alignment horizontal="center"/>
    </xf>
    <xf numFmtId="0" fontId="0" fillId="16" borderId="25" xfId="0" applyFont="1" applyFill="1" applyBorder="1" applyAlignment="1">
      <alignment horizontal="center"/>
    </xf>
    <xf numFmtId="0" fontId="0" fillId="40" borderId="26" xfId="0" applyFont="1" applyFill="1" applyBorder="1" applyAlignment="1">
      <alignment horizontal="center"/>
    </xf>
    <xf numFmtId="0" fontId="0" fillId="40" borderId="24" xfId="0" applyFont="1" applyFill="1" applyBorder="1" applyAlignment="1">
      <alignment horizontal="center"/>
    </xf>
    <xf numFmtId="0" fontId="0" fillId="19" borderId="2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0" xfId="0" applyFont="1" applyAlignment="1">
      <alignment/>
    </xf>
    <xf numFmtId="0" fontId="5" fillId="34" borderId="10" xfId="0" applyFont="1" applyFill="1" applyBorder="1" applyAlignment="1">
      <alignment horizontal="center"/>
    </xf>
    <xf numFmtId="3" fontId="0" fillId="35" borderId="10" xfId="0" applyNumberFormat="1" applyFill="1" applyBorder="1" applyAlignment="1">
      <alignment/>
    </xf>
    <xf numFmtId="3" fontId="0" fillId="41" borderId="10" xfId="0" applyNumberFormat="1" applyFill="1" applyBorder="1" applyAlignment="1">
      <alignment/>
    </xf>
    <xf numFmtId="3" fontId="0" fillId="42" borderId="10" xfId="0" applyNumberFormat="1" applyFill="1" applyBorder="1" applyAlignment="1">
      <alignment/>
    </xf>
    <xf numFmtId="3" fontId="0" fillId="10" borderId="10" xfId="0" applyNumberFormat="1" applyFill="1" applyBorder="1" applyAlignment="1">
      <alignment/>
    </xf>
    <xf numFmtId="3" fontId="0" fillId="9" borderId="10" xfId="0" applyNumberFormat="1" applyFill="1" applyBorder="1" applyAlignment="1">
      <alignment/>
    </xf>
    <xf numFmtId="3" fontId="0" fillId="22" borderId="10" xfId="0" applyNumberFormat="1" applyFill="1" applyBorder="1" applyAlignment="1">
      <alignment/>
    </xf>
    <xf numFmtId="10" fontId="0" fillId="0" borderId="10" xfId="0" applyNumberFormat="1" applyBorder="1" applyAlignment="1">
      <alignment/>
    </xf>
    <xf numFmtId="9" fontId="0" fillId="22" borderId="10" xfId="0" applyNumberFormat="1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40" fontId="0" fillId="0" borderId="18" xfId="0" applyNumberFormat="1" applyBorder="1" applyAlignment="1">
      <alignment/>
    </xf>
    <xf numFmtId="40" fontId="0" fillId="0" borderId="19" xfId="0" applyNumberFormat="1" applyBorder="1" applyAlignment="1">
      <alignment/>
    </xf>
    <xf numFmtId="40" fontId="0" fillId="0" borderId="20" xfId="0" applyNumberFormat="1" applyBorder="1" applyAlignment="1">
      <alignment/>
    </xf>
    <xf numFmtId="40" fontId="0" fillId="0" borderId="10" xfId="0" applyNumberFormat="1" applyBorder="1" applyAlignment="1">
      <alignment/>
    </xf>
    <xf numFmtId="0" fontId="0" fillId="6" borderId="19" xfId="0" applyFill="1" applyBorder="1" applyAlignment="1">
      <alignment horizontal="left" indent="1"/>
    </xf>
    <xf numFmtId="0" fontId="0" fillId="6" borderId="20" xfId="0" applyFill="1" applyBorder="1" applyAlignment="1">
      <alignment horizontal="left" indent="1"/>
    </xf>
    <xf numFmtId="40" fontId="0" fillId="7" borderId="10" xfId="0" applyNumberFormat="1" applyFill="1" applyBorder="1" applyAlignment="1">
      <alignment/>
    </xf>
    <xf numFmtId="40" fontId="0" fillId="7" borderId="10" xfId="0" applyNumberFormat="1" applyFill="1" applyBorder="1" applyAlignment="1">
      <alignment/>
    </xf>
    <xf numFmtId="40" fontId="0" fillId="36" borderId="18" xfId="0" applyNumberFormat="1" applyFill="1" applyBorder="1" applyAlignment="1">
      <alignment/>
    </xf>
    <xf numFmtId="40" fontId="0" fillId="36" borderId="19" xfId="0" applyNumberFormat="1" applyFill="1" applyBorder="1" applyAlignment="1">
      <alignment/>
    </xf>
    <xf numFmtId="40" fontId="0" fillId="36" borderId="20" xfId="0" applyNumberFormat="1" applyFill="1" applyBorder="1" applyAlignment="1">
      <alignment/>
    </xf>
    <xf numFmtId="40" fontId="0" fillId="36" borderId="10" xfId="0" applyNumberFormat="1" applyFill="1" applyBorder="1" applyAlignment="1">
      <alignment/>
    </xf>
    <xf numFmtId="40" fontId="0" fillId="3" borderId="10" xfId="0" applyNumberFormat="1" applyFill="1" applyBorder="1" applyAlignment="1">
      <alignment/>
    </xf>
    <xf numFmtId="0" fontId="0" fillId="35" borderId="22" xfId="0" applyFill="1" applyBorder="1" applyAlignment="1">
      <alignment horizontal="right"/>
    </xf>
    <xf numFmtId="40" fontId="0" fillId="7" borderId="22" xfId="0" applyNumberFormat="1" applyFill="1" applyBorder="1" applyAlignment="1">
      <alignment/>
    </xf>
    <xf numFmtId="0" fontId="0" fillId="9" borderId="10" xfId="0" applyFill="1" applyBorder="1" applyAlignment="1">
      <alignment horizontal="right"/>
    </xf>
    <xf numFmtId="0" fontId="0" fillId="19" borderId="18" xfId="0" applyFill="1" applyBorder="1" applyAlignment="1">
      <alignment horizontal="center"/>
    </xf>
    <xf numFmtId="0" fontId="0" fillId="4" borderId="10" xfId="0" applyFill="1" applyBorder="1" applyAlignment="1">
      <alignment horizontal="left" indent="1"/>
    </xf>
    <xf numFmtId="9" fontId="0" fillId="12" borderId="19" xfId="0" applyNumberFormat="1" applyFill="1" applyBorder="1" applyAlignment="1">
      <alignment horizontal="center"/>
    </xf>
    <xf numFmtId="9" fontId="0" fillId="12" borderId="20" xfId="0" applyNumberFormat="1" applyFill="1" applyBorder="1" applyAlignment="1">
      <alignment horizontal="center"/>
    </xf>
    <xf numFmtId="0" fontId="0" fillId="18" borderId="10" xfId="0" applyFill="1" applyBorder="1" applyAlignment="1">
      <alignment vertical="center"/>
    </xf>
    <xf numFmtId="0" fontId="0" fillId="18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6" borderId="18" xfId="0" applyFill="1" applyBorder="1" applyAlignment="1">
      <alignment horizontal="left" wrapText="1" indent="1"/>
    </xf>
    <xf numFmtId="9" fontId="0" fillId="12" borderId="18" xfId="0" applyNumberFormat="1" applyFill="1" applyBorder="1" applyAlignment="1">
      <alignment horizontal="center" vertical="center"/>
    </xf>
    <xf numFmtId="40" fontId="0" fillId="0" borderId="18" xfId="0" applyNumberFormat="1" applyBorder="1" applyAlignment="1">
      <alignment horizontal="right" vertical="center"/>
    </xf>
    <xf numFmtId="40" fontId="0" fillId="36" borderId="18" xfId="0" applyNumberFormat="1" applyFill="1" applyBorder="1" applyAlignment="1">
      <alignment vertical="center"/>
    </xf>
    <xf numFmtId="0" fontId="0" fillId="33" borderId="21" xfId="0" applyFill="1" applyBorder="1" applyAlignment="1">
      <alignment horizontal="left" indent="1"/>
    </xf>
    <xf numFmtId="0" fontId="0" fillId="35" borderId="10" xfId="0" applyFill="1" applyBorder="1" applyAlignment="1">
      <alignment horizontal="left" indent="1"/>
    </xf>
    <xf numFmtId="0" fontId="0" fillId="16" borderId="15" xfId="0" applyFill="1" applyBorder="1" applyAlignment="1">
      <alignment horizontal="left" indent="1"/>
    </xf>
    <xf numFmtId="0" fontId="0" fillId="16" borderId="32" xfId="0" applyFill="1" applyBorder="1" applyAlignment="1">
      <alignment horizontal="left" indent="1"/>
    </xf>
    <xf numFmtId="0" fontId="0" fillId="16" borderId="16" xfId="0" applyFill="1" applyBorder="1" applyAlignment="1">
      <alignment horizontal="left" indent="1"/>
    </xf>
    <xf numFmtId="0" fontId="46" fillId="0" borderId="0" xfId="0" applyFont="1" applyAlignment="1">
      <alignment horizontal="center"/>
    </xf>
    <xf numFmtId="0" fontId="43" fillId="7" borderId="22" xfId="0" applyFont="1" applyFill="1" applyBorder="1" applyAlignment="1">
      <alignment horizontal="left" indent="1"/>
    </xf>
    <xf numFmtId="0" fontId="0" fillId="15" borderId="10" xfId="0" applyFill="1" applyBorder="1" applyAlignment="1">
      <alignment horizontal="left" indent="1"/>
    </xf>
    <xf numFmtId="0" fontId="0" fillId="15" borderId="18" xfId="0" applyFill="1" applyBorder="1" applyAlignment="1">
      <alignment horizontal="left" indent="1"/>
    </xf>
    <xf numFmtId="0" fontId="42" fillId="7" borderId="33" xfId="0" applyFont="1" applyFill="1" applyBorder="1" applyAlignment="1">
      <alignment horizontal="left" indent="1"/>
    </xf>
    <xf numFmtId="0" fontId="42" fillId="7" borderId="34" xfId="0" applyFont="1" applyFill="1" applyBorder="1" applyAlignment="1">
      <alignment horizontal="left" indent="1"/>
    </xf>
    <xf numFmtId="0" fontId="0" fillId="15" borderId="20" xfId="0" applyFill="1" applyBorder="1" applyAlignment="1">
      <alignment horizontal="left" indent="1"/>
    </xf>
    <xf numFmtId="0" fontId="42" fillId="7" borderId="22" xfId="0" applyFont="1" applyFill="1" applyBorder="1" applyAlignment="1">
      <alignment horizontal="left" indent="1"/>
    </xf>
    <xf numFmtId="0" fontId="0" fillId="21" borderId="21" xfId="0" applyFill="1" applyBorder="1" applyAlignment="1">
      <alignment horizontal="left" indent="1"/>
    </xf>
    <xf numFmtId="0" fontId="0" fillId="16" borderId="10" xfId="0" applyFill="1" applyBorder="1" applyAlignment="1">
      <alignment horizontal="left" indent="1"/>
    </xf>
    <xf numFmtId="0" fontId="0" fillId="16" borderId="18" xfId="0" applyFill="1" applyBorder="1" applyAlignment="1">
      <alignment horizontal="left" indent="1"/>
    </xf>
    <xf numFmtId="0" fontId="43" fillId="7" borderId="33" xfId="0" applyFont="1" applyFill="1" applyBorder="1" applyAlignment="1">
      <alignment horizontal="left" indent="1"/>
    </xf>
    <xf numFmtId="0" fontId="43" fillId="7" borderId="35" xfId="0" applyFont="1" applyFill="1" applyBorder="1" applyAlignment="1">
      <alignment horizontal="left" indent="1"/>
    </xf>
    <xf numFmtId="0" fontId="0" fillId="16" borderId="20" xfId="0" applyFill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35" borderId="10" xfId="0" applyFill="1" applyBorder="1" applyAlignment="1">
      <alignment horizontal="center"/>
    </xf>
    <xf numFmtId="38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15" borderId="10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43" borderId="10" xfId="0" applyFill="1" applyBorder="1" applyAlignment="1">
      <alignment horizontal="right"/>
    </xf>
    <xf numFmtId="0" fontId="0" fillId="35" borderId="10" xfId="0" applyFill="1" applyBorder="1" applyAlignment="1">
      <alignment horizontal="right"/>
    </xf>
    <xf numFmtId="0" fontId="0" fillId="43" borderId="36" xfId="0" applyFill="1" applyBorder="1" applyAlignment="1">
      <alignment horizontal="right"/>
    </xf>
    <xf numFmtId="0" fontId="0" fillId="43" borderId="37" xfId="0" applyFill="1" applyBorder="1" applyAlignment="1">
      <alignment horizontal="right"/>
    </xf>
    <xf numFmtId="0" fontId="0" fillId="43" borderId="29" xfId="0" applyFill="1" applyBorder="1" applyAlignment="1">
      <alignment horizontal="right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15" borderId="36" xfId="0" applyFill="1" applyBorder="1" applyAlignment="1">
      <alignment horizontal="center"/>
    </xf>
    <xf numFmtId="0" fontId="0" fillId="15" borderId="29" xfId="0" applyFill="1" applyBorder="1" applyAlignment="1">
      <alignment horizontal="center"/>
    </xf>
    <xf numFmtId="0" fontId="0" fillId="0" borderId="26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0" fillId="0" borderId="31" xfId="0" applyBorder="1" applyAlignment="1">
      <alignment horizontal="left" indent="1"/>
    </xf>
    <xf numFmtId="0" fontId="0" fillId="0" borderId="30" xfId="0" applyBorder="1" applyAlignment="1">
      <alignment horizontal="left" indent="1"/>
    </xf>
    <xf numFmtId="0" fontId="5" fillId="0" borderId="31" xfId="0" applyFont="1" applyBorder="1" applyAlignment="1">
      <alignment/>
    </xf>
    <xf numFmtId="0" fontId="5" fillId="0" borderId="30" xfId="0" applyFont="1" applyBorder="1" applyAlignment="1">
      <alignment/>
    </xf>
    <xf numFmtId="0" fontId="0" fillId="43" borderId="38" xfId="0" applyFont="1" applyFill="1" applyBorder="1" applyAlignment="1">
      <alignment horizontal="center" vertical="center"/>
    </xf>
    <xf numFmtId="0" fontId="0" fillId="43" borderId="39" xfId="0" applyFont="1" applyFill="1" applyBorder="1" applyAlignment="1">
      <alignment horizontal="center" vertical="center"/>
    </xf>
    <xf numFmtId="0" fontId="0" fillId="43" borderId="26" xfId="0" applyFont="1" applyFill="1" applyBorder="1" applyAlignment="1">
      <alignment horizontal="center" vertical="center"/>
    </xf>
    <xf numFmtId="0" fontId="0" fillId="43" borderId="25" xfId="0" applyFont="1" applyFill="1" applyBorder="1" applyAlignment="1">
      <alignment horizontal="center" vertical="center"/>
    </xf>
    <xf numFmtId="0" fontId="0" fillId="43" borderId="40" xfId="0" applyFont="1" applyFill="1" applyBorder="1" applyAlignment="1">
      <alignment horizontal="center"/>
    </xf>
    <xf numFmtId="0" fontId="0" fillId="43" borderId="41" xfId="0" applyFont="1" applyFill="1" applyBorder="1" applyAlignment="1">
      <alignment horizontal="center"/>
    </xf>
    <xf numFmtId="0" fontId="0" fillId="43" borderId="39" xfId="0" applyFont="1" applyFill="1" applyBorder="1" applyAlignment="1">
      <alignment horizontal="center"/>
    </xf>
    <xf numFmtId="0" fontId="0" fillId="43" borderId="38" xfId="0" applyFont="1" applyFill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7" xfId="0" applyFont="1" applyBorder="1" applyAlignment="1">
      <alignment/>
    </xf>
    <xf numFmtId="0" fontId="47" fillId="44" borderId="10" xfId="0" applyFont="1" applyFill="1" applyBorder="1" applyAlignment="1">
      <alignment horizontal="center" vertical="center" wrapText="1"/>
    </xf>
    <xf numFmtId="0" fontId="0" fillId="43" borderId="10" xfId="0" applyFill="1" applyBorder="1" applyAlignment="1">
      <alignment horizontal="center"/>
    </xf>
    <xf numFmtId="0" fontId="0" fillId="15" borderId="10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0" fillId="40" borderId="10" xfId="0" applyFill="1" applyBorder="1" applyAlignment="1">
      <alignment horizontal="left" wrapText="1" indent="1"/>
    </xf>
    <xf numFmtId="0" fontId="0" fillId="40" borderId="10" xfId="0" applyFill="1" applyBorder="1" applyAlignment="1">
      <alignment horizontal="left" indent="1"/>
    </xf>
    <xf numFmtId="0" fontId="0" fillId="19" borderId="10" xfId="0" applyFill="1" applyBorder="1" applyAlignment="1">
      <alignment horizontal="left" indent="1"/>
    </xf>
    <xf numFmtId="0" fontId="0" fillId="9" borderId="10" xfId="0" applyFill="1" applyBorder="1" applyAlignment="1">
      <alignment horizontal="left"/>
    </xf>
    <xf numFmtId="0" fontId="0" fillId="33" borderId="3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4" borderId="13" xfId="0" applyFill="1" applyBorder="1" applyAlignment="1">
      <alignment horizontal="left" indent="1"/>
    </xf>
    <xf numFmtId="0" fontId="0" fillId="4" borderId="14" xfId="0" applyFill="1" applyBorder="1" applyAlignment="1">
      <alignment horizontal="left" indent="1"/>
    </xf>
    <xf numFmtId="0" fontId="0" fillId="4" borderId="15" xfId="0" applyFill="1" applyBorder="1" applyAlignment="1">
      <alignment horizontal="left" indent="1"/>
    </xf>
    <xf numFmtId="0" fontId="0" fillId="4" borderId="16" xfId="0" applyFill="1" applyBorder="1" applyAlignment="1">
      <alignment horizontal="left" indent="1"/>
    </xf>
    <xf numFmtId="0" fontId="0" fillId="10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left" indent="1"/>
    </xf>
    <xf numFmtId="0" fontId="0" fillId="22" borderId="10" xfId="0" applyFill="1" applyBorder="1" applyAlignment="1">
      <alignment horizontal="right"/>
    </xf>
    <xf numFmtId="0" fontId="46" fillId="0" borderId="0" xfId="0" applyFont="1" applyAlignment="1">
      <alignment horizontal="center" vertical="center"/>
    </xf>
    <xf numFmtId="0" fontId="0" fillId="18" borderId="10" xfId="0" applyFill="1" applyBorder="1" applyAlignment="1">
      <alignment horizontal="right"/>
    </xf>
    <xf numFmtId="0" fontId="0" fillId="22" borderId="10" xfId="0" applyFill="1" applyBorder="1" applyAlignment="1">
      <alignment horizontal="left" vertical="center"/>
    </xf>
    <xf numFmtId="0" fontId="0" fillId="4" borderId="11" xfId="0" applyFill="1" applyBorder="1" applyAlignment="1">
      <alignment horizontal="left" indent="1"/>
    </xf>
    <xf numFmtId="0" fontId="0" fillId="4" borderId="12" xfId="0" applyFill="1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90" workbookViewId="0" topLeftCell="A1">
      <selection activeCell="I36" sqref="I36"/>
    </sheetView>
  </sheetViews>
  <sheetFormatPr defaultColWidth="9.140625" defaultRowHeight="15"/>
  <cols>
    <col min="2" max="2" width="32.421875" style="0" bestFit="1" customWidth="1"/>
    <col min="3" max="3" width="11.421875" style="0" customWidth="1"/>
    <col min="6" max="6" width="34.8515625" style="0" customWidth="1"/>
    <col min="7" max="7" width="11.421875" style="0" customWidth="1"/>
  </cols>
  <sheetData>
    <row r="1" spans="4:7" ht="15.75">
      <c r="D1" s="169" t="s">
        <v>51</v>
      </c>
      <c r="E1" s="169"/>
      <c r="F1" s="65" t="s">
        <v>52</v>
      </c>
      <c r="G1" s="66">
        <v>2557</v>
      </c>
    </row>
    <row r="2" ht="15">
      <c r="G2" t="s">
        <v>53</v>
      </c>
    </row>
    <row r="3" spans="1:8" ht="15">
      <c r="A3" s="18" t="s">
        <v>1</v>
      </c>
      <c r="B3" s="20" t="s">
        <v>2</v>
      </c>
      <c r="C3" s="21" t="s">
        <v>3</v>
      </c>
      <c r="D3" s="21" t="s">
        <v>4</v>
      </c>
      <c r="E3" s="19" t="s">
        <v>37</v>
      </c>
      <c r="F3" s="20" t="s">
        <v>2</v>
      </c>
      <c r="G3" s="21" t="s">
        <v>3</v>
      </c>
      <c r="H3" s="21" t="s">
        <v>4</v>
      </c>
    </row>
    <row r="4" spans="1:8" ht="15">
      <c r="A4" s="178" t="s">
        <v>0</v>
      </c>
      <c r="B4" s="178"/>
      <c r="C4" s="178"/>
      <c r="D4" s="179"/>
      <c r="E4" s="171" t="s">
        <v>41</v>
      </c>
      <c r="F4" s="171"/>
      <c r="G4" s="171"/>
      <c r="H4" s="172"/>
    </row>
    <row r="5" spans="1:8" ht="15">
      <c r="A5" s="2"/>
      <c r="B5" s="3" t="s">
        <v>5</v>
      </c>
      <c r="C5" s="27"/>
      <c r="D5" s="56">
        <f aca="true" t="shared" si="0" ref="D5:D10">IF($C$37&gt;0,C5/$C$37,0)</f>
        <v>0</v>
      </c>
      <c r="E5" s="9"/>
      <c r="F5" s="9" t="s">
        <v>38</v>
      </c>
      <c r="G5" s="27"/>
      <c r="H5" s="56">
        <f aca="true" t="shared" si="1" ref="H5:H10">IF($G$16&gt;0,G5/$G$16,0)</f>
        <v>0</v>
      </c>
    </row>
    <row r="6" spans="1:8" ht="15">
      <c r="A6" s="4"/>
      <c r="B6" s="5" t="s">
        <v>6</v>
      </c>
      <c r="C6" s="28"/>
      <c r="D6" s="57">
        <f t="shared" si="0"/>
        <v>0</v>
      </c>
      <c r="E6" s="10"/>
      <c r="F6" s="10" t="s">
        <v>39</v>
      </c>
      <c r="G6" s="28"/>
      <c r="H6" s="57">
        <f t="shared" si="1"/>
        <v>0</v>
      </c>
    </row>
    <row r="7" spans="1:8" ht="15">
      <c r="A7" s="4"/>
      <c r="B7" s="5" t="s">
        <v>7</v>
      </c>
      <c r="C7" s="28"/>
      <c r="D7" s="57">
        <f t="shared" si="0"/>
        <v>0</v>
      </c>
      <c r="E7" s="10"/>
      <c r="F7" s="10" t="s">
        <v>40</v>
      </c>
      <c r="G7" s="28"/>
      <c r="H7" s="57">
        <f t="shared" si="1"/>
        <v>0</v>
      </c>
    </row>
    <row r="8" spans="1:8" ht="15">
      <c r="A8" s="4"/>
      <c r="B8" s="5" t="s">
        <v>8</v>
      </c>
      <c r="C8" s="28"/>
      <c r="D8" s="57">
        <f t="shared" si="0"/>
        <v>0</v>
      </c>
      <c r="E8" s="10"/>
      <c r="F8" s="10" t="s">
        <v>9</v>
      </c>
      <c r="G8" s="28"/>
      <c r="H8" s="57">
        <f t="shared" si="1"/>
        <v>0</v>
      </c>
    </row>
    <row r="9" spans="1:8" ht="15">
      <c r="A9" s="6"/>
      <c r="B9" s="7" t="s">
        <v>9</v>
      </c>
      <c r="C9" s="28"/>
      <c r="D9" s="58">
        <f t="shared" si="0"/>
        <v>0</v>
      </c>
      <c r="E9" s="10"/>
      <c r="F9" s="10"/>
      <c r="G9" s="28"/>
      <c r="H9" s="58">
        <f t="shared" si="1"/>
        <v>0</v>
      </c>
    </row>
    <row r="10" spans="1:8" ht="15.75" thickBot="1">
      <c r="A10" s="180" t="s">
        <v>10</v>
      </c>
      <c r="B10" s="181"/>
      <c r="C10" s="29">
        <f>SUM(C5:C9)</f>
        <v>0</v>
      </c>
      <c r="D10" s="59">
        <f t="shared" si="0"/>
        <v>0</v>
      </c>
      <c r="E10" s="173" t="s">
        <v>42</v>
      </c>
      <c r="F10" s="174"/>
      <c r="G10" s="30">
        <f>SUM(G5:G9)</f>
        <v>0</v>
      </c>
      <c r="H10" s="62">
        <f t="shared" si="1"/>
        <v>0</v>
      </c>
    </row>
    <row r="11" spans="1:8" ht="15.75" thickTop="1">
      <c r="A11" s="182" t="s">
        <v>11</v>
      </c>
      <c r="B11" s="182"/>
      <c r="C11" s="182"/>
      <c r="D11" s="182"/>
      <c r="E11" s="175" t="s">
        <v>43</v>
      </c>
      <c r="F11" s="175"/>
      <c r="G11" s="175"/>
      <c r="H11" s="175"/>
    </row>
    <row r="12" spans="1:8" ht="15">
      <c r="A12" s="2"/>
      <c r="B12" s="3" t="s">
        <v>12</v>
      </c>
      <c r="C12" s="11"/>
      <c r="D12" s="56">
        <f aca="true" t="shared" si="2" ref="D12:D25">IF($C$37&gt;0,C12/$C$37,0)</f>
        <v>0</v>
      </c>
      <c r="E12" s="2"/>
      <c r="F12" s="3" t="s">
        <v>44</v>
      </c>
      <c r="G12" s="11"/>
      <c r="H12" s="57">
        <f>IF($G$16&gt;0,G12/$G$16,0)</f>
        <v>0</v>
      </c>
    </row>
    <row r="13" spans="1:8" ht="15">
      <c r="A13" s="4"/>
      <c r="B13" s="5" t="s">
        <v>13</v>
      </c>
      <c r="C13" s="12"/>
      <c r="D13" s="57">
        <f t="shared" si="2"/>
        <v>0</v>
      </c>
      <c r="E13" s="4"/>
      <c r="F13" s="5" t="s">
        <v>45</v>
      </c>
      <c r="G13" s="12"/>
      <c r="H13" s="57">
        <f>IF($G$16&gt;0,G13/$G$16,0)</f>
        <v>0</v>
      </c>
    </row>
    <row r="14" spans="1:8" ht="15">
      <c r="A14" s="4"/>
      <c r="B14" s="5" t="s">
        <v>14</v>
      </c>
      <c r="C14" s="12"/>
      <c r="D14" s="57">
        <f t="shared" si="2"/>
        <v>0</v>
      </c>
      <c r="E14" s="6"/>
      <c r="F14" s="7" t="s">
        <v>46</v>
      </c>
      <c r="G14" s="14"/>
      <c r="H14" s="57">
        <f>IF($G$16&gt;0,G14/$G$16,0)</f>
        <v>0</v>
      </c>
    </row>
    <row r="15" spans="1:8" ht="15.75" thickBot="1">
      <c r="A15" s="4"/>
      <c r="B15" s="5" t="s">
        <v>15</v>
      </c>
      <c r="C15" s="12"/>
      <c r="D15" s="57">
        <f t="shared" si="2"/>
        <v>0</v>
      </c>
      <c r="E15" s="176" t="s">
        <v>47</v>
      </c>
      <c r="F15" s="176"/>
      <c r="G15" s="30">
        <f>SUM(G12:G14)</f>
        <v>0</v>
      </c>
      <c r="H15" s="63">
        <f>IF($G$16&gt;0,G15/$G$16,0)</f>
        <v>0</v>
      </c>
    </row>
    <row r="16" spans="1:8" ht="16.5" thickBot="1" thickTop="1">
      <c r="A16" s="4"/>
      <c r="B16" s="5" t="s">
        <v>16</v>
      </c>
      <c r="C16" s="12"/>
      <c r="D16" s="57">
        <f t="shared" si="2"/>
        <v>0</v>
      </c>
      <c r="E16" s="177" t="s">
        <v>48</v>
      </c>
      <c r="F16" s="177"/>
      <c r="G16" s="22">
        <f>G10+G15</f>
        <v>0</v>
      </c>
      <c r="H16" s="64">
        <f>IF(G16&gt;0,G16/G16,0)</f>
        <v>0</v>
      </c>
    </row>
    <row r="17" spans="1:4" ht="15.75" thickTop="1">
      <c r="A17" s="4"/>
      <c r="B17" s="5" t="s">
        <v>17</v>
      </c>
      <c r="C17" s="12"/>
      <c r="D17" s="57">
        <f t="shared" si="2"/>
        <v>0</v>
      </c>
    </row>
    <row r="18" spans="1:7" ht="15">
      <c r="A18" s="4"/>
      <c r="B18" s="5" t="s">
        <v>18</v>
      </c>
      <c r="C18" s="12"/>
      <c r="D18" s="57">
        <f t="shared" si="2"/>
        <v>0</v>
      </c>
      <c r="E18" s="165" t="s">
        <v>50</v>
      </c>
      <c r="F18" s="165"/>
      <c r="G18" s="25">
        <f>C37-G16</f>
        <v>0</v>
      </c>
    </row>
    <row r="19" spans="1:4" ht="15">
      <c r="A19" s="4"/>
      <c r="B19" s="5" t="s">
        <v>19</v>
      </c>
      <c r="C19" s="12"/>
      <c r="D19" s="57">
        <f t="shared" si="2"/>
        <v>0</v>
      </c>
    </row>
    <row r="20" spans="1:4" ht="15">
      <c r="A20" s="4"/>
      <c r="B20" s="5" t="s">
        <v>20</v>
      </c>
      <c r="C20" s="12"/>
      <c r="D20" s="57">
        <f t="shared" si="2"/>
        <v>0</v>
      </c>
    </row>
    <row r="21" spans="1:4" ht="15">
      <c r="A21" s="4"/>
      <c r="B21" s="5" t="s">
        <v>21</v>
      </c>
      <c r="C21" s="12"/>
      <c r="D21" s="57">
        <f t="shared" si="2"/>
        <v>0</v>
      </c>
    </row>
    <row r="22" spans="1:4" ht="15">
      <c r="A22" s="4"/>
      <c r="B22" s="5" t="s">
        <v>22</v>
      </c>
      <c r="C22" s="12"/>
      <c r="D22" s="57">
        <f t="shared" si="2"/>
        <v>0</v>
      </c>
    </row>
    <row r="23" spans="1:4" ht="15">
      <c r="A23" s="4"/>
      <c r="B23" s="5" t="s">
        <v>23</v>
      </c>
      <c r="C23" s="12"/>
      <c r="D23" s="57">
        <f t="shared" si="2"/>
        <v>0</v>
      </c>
    </row>
    <row r="24" spans="1:4" ht="15">
      <c r="A24" s="4"/>
      <c r="B24" s="5" t="s">
        <v>24</v>
      </c>
      <c r="C24" s="12"/>
      <c r="D24" s="57">
        <f t="shared" si="2"/>
        <v>0</v>
      </c>
    </row>
    <row r="25" spans="1:4" ht="15">
      <c r="A25" s="6"/>
      <c r="B25" s="7" t="s">
        <v>25</v>
      </c>
      <c r="C25" s="14"/>
      <c r="D25" s="58">
        <f t="shared" si="2"/>
        <v>0</v>
      </c>
    </row>
    <row r="26" spans="1:4" ht="15.75" thickBot="1">
      <c r="A26" s="170" t="s">
        <v>26</v>
      </c>
      <c r="B26" s="170"/>
      <c r="C26" s="29">
        <f>SUM(C12:C25)</f>
        <v>0</v>
      </c>
      <c r="D26" s="59">
        <f>IF($C$37&gt;0,C26/$C$37,0)</f>
        <v>0</v>
      </c>
    </row>
    <row r="27" spans="1:4" ht="15.75" thickTop="1">
      <c r="A27" s="182" t="s">
        <v>27</v>
      </c>
      <c r="B27" s="182"/>
      <c r="C27" s="182"/>
      <c r="D27" s="182"/>
    </row>
    <row r="28" spans="1:4" ht="15">
      <c r="A28" s="2"/>
      <c r="B28" s="3" t="s">
        <v>28</v>
      </c>
      <c r="C28" s="11"/>
      <c r="D28" s="56">
        <f>IF($C$37&gt;0,C28/$C$37,0)</f>
        <v>0</v>
      </c>
    </row>
    <row r="29" spans="1:4" ht="15">
      <c r="A29" s="4"/>
      <c r="B29" s="5" t="s">
        <v>29</v>
      </c>
      <c r="C29" s="12"/>
      <c r="D29" s="57">
        <f>IF($C$37&gt;0,C29/$C$37,0)</f>
        <v>0</v>
      </c>
    </row>
    <row r="30" spans="1:4" ht="15">
      <c r="A30" s="4"/>
      <c r="B30" s="5" t="s">
        <v>30</v>
      </c>
      <c r="C30" s="12"/>
      <c r="D30" s="57">
        <f>IF($C$37&gt;0,C30/$C$37,0)</f>
        <v>0</v>
      </c>
    </row>
    <row r="31" spans="1:4" ht="15">
      <c r="A31" s="6"/>
      <c r="B31" s="7" t="s">
        <v>31</v>
      </c>
      <c r="C31" s="14"/>
      <c r="D31" s="58">
        <f>IF($C$37&gt;0,C31/$C$37,0)</f>
        <v>0</v>
      </c>
    </row>
    <row r="32" spans="1:4" ht="15.75" thickBot="1">
      <c r="A32" s="170" t="s">
        <v>32</v>
      </c>
      <c r="B32" s="170"/>
      <c r="C32" s="29">
        <f>SUM(C28:C31)</f>
        <v>0</v>
      </c>
      <c r="D32" s="60">
        <f>IF($C$37&gt;0,C32/$C$37,0)</f>
        <v>0</v>
      </c>
    </row>
    <row r="33" spans="1:4" ht="15.75" thickTop="1">
      <c r="A33" s="166" t="s">
        <v>33</v>
      </c>
      <c r="B33" s="167"/>
      <c r="C33" s="167"/>
      <c r="D33" s="168"/>
    </row>
    <row r="34" spans="1:4" ht="15">
      <c r="A34" s="2"/>
      <c r="B34" s="3" t="s">
        <v>34</v>
      </c>
      <c r="C34" s="11"/>
      <c r="D34" s="57">
        <f>IF($C$37&gt;0,C34/$C$37,0)</f>
        <v>0</v>
      </c>
    </row>
    <row r="35" spans="1:4" ht="15">
      <c r="A35" s="6"/>
      <c r="B35" s="7" t="s">
        <v>35</v>
      </c>
      <c r="C35" s="14"/>
      <c r="D35" s="57">
        <f>IF($C$37&gt;0,C35/$C$37,0)</f>
        <v>0</v>
      </c>
    </row>
    <row r="36" spans="1:4" ht="15.75" thickBot="1">
      <c r="A36" s="170" t="s">
        <v>36</v>
      </c>
      <c r="B36" s="170"/>
      <c r="C36" s="29">
        <f>SUM(C34:C35)</f>
        <v>0</v>
      </c>
      <c r="D36" s="60">
        <f>IF($C$37&gt;0,C36/$C$37,0)</f>
        <v>0</v>
      </c>
    </row>
    <row r="37" spans="1:4" ht="16.5" thickBot="1" thickTop="1">
      <c r="A37" s="164" t="s">
        <v>49</v>
      </c>
      <c r="B37" s="164"/>
      <c r="C37" s="23">
        <f>C10+C26+C32+C36</f>
        <v>0</v>
      </c>
      <c r="D37" s="61">
        <f>IF(C37&gt;0,C37/C37,0)</f>
        <v>0</v>
      </c>
    </row>
    <row r="38" ht="15.75" thickTop="1"/>
  </sheetData>
  <sheetProtection/>
  <mergeCells count="16">
    <mergeCell ref="A4:D4"/>
    <mergeCell ref="A10:B10"/>
    <mergeCell ref="A11:D11"/>
    <mergeCell ref="A26:B26"/>
    <mergeCell ref="A27:D27"/>
    <mergeCell ref="A32:B32"/>
    <mergeCell ref="A37:B37"/>
    <mergeCell ref="E18:F18"/>
    <mergeCell ref="A33:D33"/>
    <mergeCell ref="D1:E1"/>
    <mergeCell ref="A36:B36"/>
    <mergeCell ref="E4:H4"/>
    <mergeCell ref="E10:F10"/>
    <mergeCell ref="E11:H11"/>
    <mergeCell ref="E15:F15"/>
    <mergeCell ref="E16:F16"/>
  </mergeCells>
  <printOptions/>
  <pageMargins left="0.7" right="0.7" top="0.75" bottom="0.75" header="0.3" footer="0.3"/>
  <pageSetup fitToHeight="0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F41" sqref="F41"/>
    </sheetView>
  </sheetViews>
  <sheetFormatPr defaultColWidth="9.140625" defaultRowHeight="15"/>
  <cols>
    <col min="1" max="1" width="25.00390625" style="0" bestFit="1" customWidth="1"/>
    <col min="2" max="2" width="12.140625" style="0" bestFit="1" customWidth="1"/>
    <col min="3" max="3" width="11.28125" style="0" bestFit="1" customWidth="1"/>
  </cols>
  <sheetData>
    <row r="1" spans="1:3" ht="15.75">
      <c r="A1" s="66"/>
      <c r="B1" s="65" t="s">
        <v>95</v>
      </c>
      <c r="C1" s="66">
        <v>2557</v>
      </c>
    </row>
    <row r="2" spans="1:2" ht="15">
      <c r="A2" s="32"/>
      <c r="B2" t="s">
        <v>53</v>
      </c>
    </row>
    <row r="3" spans="1:3" ht="15">
      <c r="A3" s="33" t="s">
        <v>2</v>
      </c>
      <c r="B3" s="34" t="s">
        <v>92</v>
      </c>
      <c r="C3" s="34" t="s">
        <v>94</v>
      </c>
    </row>
    <row r="4" spans="1:3" ht="15">
      <c r="A4" s="35" t="s">
        <v>84</v>
      </c>
      <c r="B4" s="26">
        <f>SUM(B5:B8)</f>
        <v>0</v>
      </c>
      <c r="C4" s="50">
        <f>IF($B$4&gt;0,$B$4/$B$4,0)</f>
        <v>0</v>
      </c>
    </row>
    <row r="5" spans="1:3" ht="15">
      <c r="A5" s="36" t="s">
        <v>54</v>
      </c>
      <c r="B5" s="11"/>
      <c r="C5" s="51">
        <f>IF($B$4&gt;0,B5/$B$4,0)</f>
        <v>0</v>
      </c>
    </row>
    <row r="6" spans="1:3" ht="15">
      <c r="A6" s="37" t="s">
        <v>55</v>
      </c>
      <c r="B6" s="12"/>
      <c r="C6" s="52">
        <f aca="true" t="shared" si="0" ref="C6:C45">IF($B$4&gt;0,B6/$B$4,0)</f>
        <v>0</v>
      </c>
    </row>
    <row r="7" spans="1:3" ht="15">
      <c r="A7" s="38" t="s">
        <v>56</v>
      </c>
      <c r="B7" s="12"/>
      <c r="C7" s="52">
        <f t="shared" si="0"/>
        <v>0</v>
      </c>
    </row>
    <row r="8" spans="1:3" ht="15">
      <c r="A8" s="42" t="s">
        <v>57</v>
      </c>
      <c r="B8" s="14"/>
      <c r="C8" s="53">
        <f t="shared" si="0"/>
        <v>0</v>
      </c>
    </row>
    <row r="9" spans="1:3" ht="15">
      <c r="A9" s="43" t="s">
        <v>89</v>
      </c>
      <c r="B9" s="94">
        <f>B10+B14+B19</f>
        <v>0</v>
      </c>
      <c r="C9" s="54">
        <f t="shared" si="0"/>
        <v>0</v>
      </c>
    </row>
    <row r="10" spans="1:3" ht="15">
      <c r="A10" s="44" t="s">
        <v>86</v>
      </c>
      <c r="B10" s="95">
        <f>SUM(B11:B13)</f>
        <v>0</v>
      </c>
      <c r="C10" s="51">
        <f t="shared" si="0"/>
        <v>0</v>
      </c>
    </row>
    <row r="11" spans="1:3" ht="15">
      <c r="A11" s="39" t="s">
        <v>58</v>
      </c>
      <c r="B11" s="12"/>
      <c r="C11" s="52">
        <f t="shared" si="0"/>
        <v>0</v>
      </c>
    </row>
    <row r="12" spans="1:3" ht="15">
      <c r="A12" s="39" t="s">
        <v>59</v>
      </c>
      <c r="B12" s="12"/>
      <c r="C12" s="52">
        <f t="shared" si="0"/>
        <v>0</v>
      </c>
    </row>
    <row r="13" spans="1:3" ht="15">
      <c r="A13" s="39" t="s">
        <v>60</v>
      </c>
      <c r="B13" s="12"/>
      <c r="C13" s="52">
        <f t="shared" si="0"/>
        <v>0</v>
      </c>
    </row>
    <row r="14" spans="1:3" ht="15">
      <c r="A14" s="40" t="s">
        <v>87</v>
      </c>
      <c r="B14" s="96">
        <f>SUM(B15:B18)</f>
        <v>0</v>
      </c>
      <c r="C14" s="52">
        <f t="shared" si="0"/>
        <v>0</v>
      </c>
    </row>
    <row r="15" spans="1:3" ht="15">
      <c r="A15" s="39" t="s">
        <v>61</v>
      </c>
      <c r="B15" s="12"/>
      <c r="C15" s="52">
        <f t="shared" si="0"/>
        <v>0</v>
      </c>
    </row>
    <row r="16" spans="1:3" ht="15">
      <c r="A16" s="39" t="s">
        <v>62</v>
      </c>
      <c r="B16" s="12"/>
      <c r="C16" s="52">
        <f t="shared" si="0"/>
        <v>0</v>
      </c>
    </row>
    <row r="17" spans="1:3" ht="15">
      <c r="A17" s="39" t="s">
        <v>63</v>
      </c>
      <c r="B17" s="12"/>
      <c r="C17" s="52">
        <f t="shared" si="0"/>
        <v>0</v>
      </c>
    </row>
    <row r="18" spans="1:3" ht="15">
      <c r="A18" s="39" t="s">
        <v>64</v>
      </c>
      <c r="B18" s="12"/>
      <c r="C18" s="52">
        <f t="shared" si="0"/>
        <v>0</v>
      </c>
    </row>
    <row r="19" spans="1:3" ht="15">
      <c r="A19" s="40" t="s">
        <v>88</v>
      </c>
      <c r="B19" s="96">
        <f>SUM(B20:B27)</f>
        <v>0</v>
      </c>
      <c r="C19" s="52">
        <f t="shared" si="0"/>
        <v>0</v>
      </c>
    </row>
    <row r="20" spans="1:3" ht="15">
      <c r="A20" s="39" t="s">
        <v>65</v>
      </c>
      <c r="B20" s="12"/>
      <c r="C20" s="52">
        <f t="shared" si="0"/>
        <v>0</v>
      </c>
    </row>
    <row r="21" spans="1:3" ht="15">
      <c r="A21" s="39" t="s">
        <v>66</v>
      </c>
      <c r="B21" s="12"/>
      <c r="C21" s="52">
        <f t="shared" si="0"/>
        <v>0</v>
      </c>
    </row>
    <row r="22" spans="1:3" ht="15">
      <c r="A22" s="39" t="s">
        <v>67</v>
      </c>
      <c r="B22" s="12"/>
      <c r="C22" s="52">
        <f t="shared" si="0"/>
        <v>0</v>
      </c>
    </row>
    <row r="23" spans="1:3" ht="15">
      <c r="A23" s="39" t="s">
        <v>68</v>
      </c>
      <c r="B23" s="12"/>
      <c r="C23" s="52">
        <f t="shared" si="0"/>
        <v>0</v>
      </c>
    </row>
    <row r="24" spans="1:3" ht="15">
      <c r="A24" s="39" t="s">
        <v>69</v>
      </c>
      <c r="B24" s="12"/>
      <c r="C24" s="52">
        <f t="shared" si="0"/>
        <v>0</v>
      </c>
    </row>
    <row r="25" spans="1:3" ht="15">
      <c r="A25" s="39" t="s">
        <v>70</v>
      </c>
      <c r="B25" s="12"/>
      <c r="C25" s="52">
        <f t="shared" si="0"/>
        <v>0</v>
      </c>
    </row>
    <row r="26" spans="1:3" ht="15">
      <c r="A26" s="39" t="s">
        <v>71</v>
      </c>
      <c r="B26" s="12"/>
      <c r="C26" s="52">
        <f t="shared" si="0"/>
        <v>0</v>
      </c>
    </row>
    <row r="27" spans="1:3" ht="15">
      <c r="A27" s="45" t="s">
        <v>72</v>
      </c>
      <c r="B27" s="14"/>
      <c r="C27" s="53">
        <f t="shared" si="0"/>
        <v>0</v>
      </c>
    </row>
    <row r="28" spans="1:3" ht="15">
      <c r="A28" s="46" t="s">
        <v>85</v>
      </c>
      <c r="B28" s="24">
        <f>B29+B38</f>
        <v>0</v>
      </c>
      <c r="C28" s="55">
        <f t="shared" si="0"/>
        <v>0</v>
      </c>
    </row>
    <row r="29" spans="1:3" ht="15">
      <c r="A29" s="47" t="s">
        <v>90</v>
      </c>
      <c r="B29" s="95">
        <f>SUM(B30:B31)+B32+B35</f>
        <v>0</v>
      </c>
      <c r="C29" s="51">
        <f t="shared" si="0"/>
        <v>0</v>
      </c>
    </row>
    <row r="30" spans="1:3" ht="15">
      <c r="A30" s="38" t="s">
        <v>77</v>
      </c>
      <c r="B30" s="12"/>
      <c r="C30" s="52">
        <f t="shared" si="0"/>
        <v>0</v>
      </c>
    </row>
    <row r="31" spans="1:3" ht="15">
      <c r="A31" s="38" t="s">
        <v>9</v>
      </c>
      <c r="B31" s="12"/>
      <c r="C31" s="52">
        <f t="shared" si="0"/>
        <v>0</v>
      </c>
    </row>
    <row r="32" spans="1:3" ht="15">
      <c r="A32" s="67" t="s">
        <v>118</v>
      </c>
      <c r="B32" s="96">
        <f>SUM(B33:B34)</f>
        <v>0</v>
      </c>
      <c r="C32" s="52">
        <f>IF($B$4&gt;0,B32/$B$4,0)</f>
        <v>0</v>
      </c>
    </row>
    <row r="33" spans="1:3" ht="15">
      <c r="A33" s="38" t="s">
        <v>76</v>
      </c>
      <c r="B33" s="12"/>
      <c r="C33" s="52">
        <f>IF($B$4&gt;0,B33/$B$4,0)</f>
        <v>0</v>
      </c>
    </row>
    <row r="34" spans="1:3" ht="15">
      <c r="A34" s="38" t="s">
        <v>73</v>
      </c>
      <c r="B34" s="12"/>
      <c r="C34" s="52">
        <f t="shared" si="0"/>
        <v>0</v>
      </c>
    </row>
    <row r="35" spans="1:3" ht="15">
      <c r="A35" s="67" t="s">
        <v>119</v>
      </c>
      <c r="B35" s="96">
        <f>SUM(B36:B37)</f>
        <v>0</v>
      </c>
      <c r="C35" s="52">
        <f t="shared" si="0"/>
        <v>0</v>
      </c>
    </row>
    <row r="36" spans="1:3" ht="15">
      <c r="A36" s="38" t="s">
        <v>74</v>
      </c>
      <c r="B36" s="12"/>
      <c r="C36" s="52">
        <f t="shared" si="0"/>
        <v>0</v>
      </c>
    </row>
    <row r="37" spans="1:3" ht="15">
      <c r="A37" s="38" t="s">
        <v>75</v>
      </c>
      <c r="B37" s="12"/>
      <c r="C37" s="52">
        <f t="shared" si="0"/>
        <v>0</v>
      </c>
    </row>
    <row r="38" spans="1:3" ht="15">
      <c r="A38" s="41" t="s">
        <v>91</v>
      </c>
      <c r="B38" s="96">
        <f>SUM(B39:B44)</f>
        <v>0</v>
      </c>
      <c r="C38" s="52">
        <f t="shared" si="0"/>
        <v>0</v>
      </c>
    </row>
    <row r="39" spans="1:3" ht="15">
      <c r="A39" s="38" t="s">
        <v>78</v>
      </c>
      <c r="B39" s="12"/>
      <c r="C39" s="52">
        <f t="shared" si="0"/>
        <v>0</v>
      </c>
    </row>
    <row r="40" spans="1:3" ht="15">
      <c r="A40" s="38" t="s">
        <v>79</v>
      </c>
      <c r="B40" s="12"/>
      <c r="C40" s="52">
        <f t="shared" si="0"/>
        <v>0</v>
      </c>
    </row>
    <row r="41" spans="1:3" ht="15">
      <c r="A41" s="38" t="s">
        <v>80</v>
      </c>
      <c r="B41" s="12"/>
      <c r="C41" s="52">
        <f t="shared" si="0"/>
        <v>0</v>
      </c>
    </row>
    <row r="42" spans="1:3" ht="15">
      <c r="A42" s="37" t="s">
        <v>81</v>
      </c>
      <c r="B42" s="12"/>
      <c r="C42" s="52">
        <f t="shared" si="0"/>
        <v>0</v>
      </c>
    </row>
    <row r="43" spans="1:3" ht="15">
      <c r="A43" s="38" t="s">
        <v>82</v>
      </c>
      <c r="B43" s="12"/>
      <c r="C43" s="52">
        <f t="shared" si="0"/>
        <v>0</v>
      </c>
    </row>
    <row r="44" spans="1:3" ht="15">
      <c r="A44" s="48" t="s">
        <v>83</v>
      </c>
      <c r="B44" s="14"/>
      <c r="C44" s="53">
        <f t="shared" si="0"/>
        <v>0</v>
      </c>
    </row>
    <row r="45" spans="1:3" ht="15.75" thickBot="1">
      <c r="A45" s="92" t="s">
        <v>93</v>
      </c>
      <c r="B45" s="97">
        <f>B4-B9-B28</f>
        <v>0</v>
      </c>
      <c r="C45" s="93">
        <f t="shared" si="0"/>
        <v>0</v>
      </c>
    </row>
    <row r="46" ht="15.7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53.421875" style="0" bestFit="1" customWidth="1"/>
    <col min="2" max="2" width="16.28125" style="0" bestFit="1" customWidth="1"/>
    <col min="3" max="3" width="15.140625" style="0" bestFit="1" customWidth="1"/>
  </cols>
  <sheetData>
    <row r="2" spans="1:3" ht="15">
      <c r="A2" s="105" t="s">
        <v>96</v>
      </c>
      <c r="B2" s="105" t="s">
        <v>99</v>
      </c>
      <c r="C2" s="105" t="s">
        <v>100</v>
      </c>
    </row>
    <row r="3" spans="1:3" ht="15">
      <c r="A3" s="85" t="s">
        <v>98</v>
      </c>
      <c r="B3" s="73"/>
      <c r="C3" s="74"/>
    </row>
    <row r="4" spans="1:3" ht="15">
      <c r="A4" s="90" t="s">
        <v>102</v>
      </c>
      <c r="B4" s="82" t="s">
        <v>101</v>
      </c>
      <c r="C4" s="79">
        <f>IF(งบกระแสเงินสด!B28&gt;0,งบดุลส่วนบุคคล!C10/งบกระแสเงินสด!B28,0)</f>
        <v>0</v>
      </c>
    </row>
    <row r="5" spans="1:3" ht="15">
      <c r="A5" s="91" t="s">
        <v>97</v>
      </c>
      <c r="B5" s="83">
        <v>0.15</v>
      </c>
      <c r="C5" s="80">
        <f>IF(งบดุลส่วนบุคคล!G18&gt;0,งบดุลส่วนบุคคล!C10/งบดุลส่วนบุคคล!G18,0)</f>
        <v>0</v>
      </c>
    </row>
    <row r="6" spans="1:3" ht="15">
      <c r="A6" s="86" t="s">
        <v>103</v>
      </c>
      <c r="B6" s="71"/>
      <c r="C6" s="72"/>
    </row>
    <row r="7" spans="1:3" ht="15">
      <c r="A7" s="90" t="s">
        <v>104</v>
      </c>
      <c r="B7" s="82" t="s">
        <v>105</v>
      </c>
      <c r="C7" s="81">
        <f>IF(งบดุลส่วนบุคคล!C37&gt;0,งบดุลส่วนบุคคล!G16/งบดุลส่วนบุคคล!C37,0)</f>
        <v>0</v>
      </c>
    </row>
    <row r="8" spans="1:3" ht="15">
      <c r="A8" s="90" t="s">
        <v>106</v>
      </c>
      <c r="B8" s="82" t="s">
        <v>107</v>
      </c>
      <c r="C8" s="81">
        <f>IF(งบกระแสเงินสด!B4&gt;0,(งบกระแสเงินสด!B32+งบกระแสเงินสด!B35)/งบกระแสเงินสด!B4,0)</f>
        <v>0</v>
      </c>
    </row>
    <row r="9" spans="1:3" ht="15">
      <c r="A9" s="91" t="s">
        <v>108</v>
      </c>
      <c r="B9" s="84" t="s">
        <v>109</v>
      </c>
      <c r="C9" s="80">
        <f>IF(งบกระแสเงินสด!B4&gt;0,งบกระแสเงินสด!B32/งบกระแสเงินสด!B4,0)</f>
        <v>0</v>
      </c>
    </row>
    <row r="10" spans="1:3" ht="15">
      <c r="A10" s="87" t="s">
        <v>110</v>
      </c>
      <c r="B10" s="75"/>
      <c r="C10" s="76"/>
    </row>
    <row r="11" spans="1:3" ht="15">
      <c r="A11" s="90" t="s">
        <v>111</v>
      </c>
      <c r="B11" s="82" t="s">
        <v>112</v>
      </c>
      <c r="C11" s="81">
        <f>IF(งบกระแสเงินสด!B4&gt;0,งบกระแสเงินสด!B9/งบกระแสเงินสด!B4,0)</f>
        <v>0</v>
      </c>
    </row>
    <row r="12" spans="1:3" ht="15">
      <c r="A12" s="91" t="s">
        <v>113</v>
      </c>
      <c r="B12" s="84" t="s">
        <v>114</v>
      </c>
      <c r="C12" s="80">
        <f>IF(งบดุลส่วนบุคคล!G18&gt;0,งบดุลส่วนบุคคล!C26/งบดุลส่วนบุคคล!G18,0)</f>
        <v>0</v>
      </c>
    </row>
    <row r="13" spans="1:3" ht="15">
      <c r="A13" s="88" t="s">
        <v>115</v>
      </c>
      <c r="B13" s="77"/>
      <c r="C13" s="78"/>
    </row>
    <row r="14" spans="1:3" ht="15">
      <c r="A14" s="91" t="s">
        <v>116</v>
      </c>
      <c r="B14" s="84" t="s">
        <v>117</v>
      </c>
      <c r="C14" s="80">
        <f>IF(งบกระแสเงินสด!B4&gt;0,งบกระแสเงินสด!B28/งบกระแสเงินสด!B4,0)</f>
        <v>0</v>
      </c>
    </row>
    <row r="16" ht="15">
      <c r="A16" s="106" t="s">
        <v>120</v>
      </c>
    </row>
    <row r="17" ht="15">
      <c r="A17" s="183"/>
    </row>
    <row r="18" ht="15">
      <c r="A18" s="183"/>
    </row>
    <row r="19" ht="15">
      <c r="A19" s="183"/>
    </row>
    <row r="20" ht="15">
      <c r="A20" s="183"/>
    </row>
    <row r="21" ht="15">
      <c r="A21" s="183"/>
    </row>
  </sheetData>
  <sheetProtection/>
  <mergeCells count="1">
    <mergeCell ref="A17:A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7.28125" style="0" bestFit="1" customWidth="1"/>
    <col min="2" max="2" width="14.7109375" style="0" bestFit="1" customWidth="1"/>
    <col min="3" max="3" width="16.28125" style="0" bestFit="1" customWidth="1"/>
    <col min="4" max="4" width="23.57421875" style="0" bestFit="1" customWidth="1"/>
    <col min="5" max="5" width="16.57421875" style="0" bestFit="1" customWidth="1"/>
  </cols>
  <sheetData>
    <row r="1" ht="15.75">
      <c r="A1" s="107" t="s">
        <v>127</v>
      </c>
    </row>
    <row r="3" spans="1:5" ht="15">
      <c r="A3" s="15" t="s">
        <v>121</v>
      </c>
      <c r="B3" s="15" t="s">
        <v>125</v>
      </c>
      <c r="C3" s="15" t="s">
        <v>123</v>
      </c>
      <c r="D3" s="15" t="s">
        <v>124</v>
      </c>
      <c r="E3" s="15" t="s">
        <v>122</v>
      </c>
    </row>
    <row r="4" spans="1:5" ht="15">
      <c r="A4" s="103"/>
      <c r="B4" s="12"/>
      <c r="C4" s="12"/>
      <c r="D4" s="68"/>
      <c r="E4" s="101"/>
    </row>
    <row r="5" spans="1:5" ht="15">
      <c r="A5" s="103"/>
      <c r="B5" s="12"/>
      <c r="C5" s="12"/>
      <c r="D5" s="68"/>
      <c r="E5" s="101"/>
    </row>
    <row r="6" spans="1:5" ht="15">
      <c r="A6" s="103"/>
      <c r="B6" s="12"/>
      <c r="C6" s="12"/>
      <c r="D6" s="68"/>
      <c r="E6" s="101"/>
    </row>
    <row r="7" spans="1:5" ht="15">
      <c r="A7" s="103"/>
      <c r="B7" s="12"/>
      <c r="C7" s="12"/>
      <c r="D7" s="68"/>
      <c r="E7" s="101"/>
    </row>
    <row r="8" spans="1:5" ht="15">
      <c r="A8" s="104"/>
      <c r="B8" s="14"/>
      <c r="C8" s="14"/>
      <c r="D8" s="69"/>
      <c r="E8" s="102"/>
    </row>
    <row r="9" spans="1:3" ht="15">
      <c r="A9" s="98" t="s">
        <v>126</v>
      </c>
      <c r="B9" s="100">
        <f>SUM(B4:B8)</f>
        <v>0</v>
      </c>
      <c r="C9" s="100">
        <f>SUM(C4:C8)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K70"/>
  <sheetViews>
    <sheetView zoomScalePageLayoutView="0" workbookViewId="0" topLeftCell="A1">
      <selection activeCell="K69" sqref="K69"/>
    </sheetView>
  </sheetViews>
  <sheetFormatPr defaultColWidth="9.140625" defaultRowHeight="15"/>
  <cols>
    <col min="2" max="2" width="24.8515625" style="0" bestFit="1" customWidth="1"/>
  </cols>
  <sheetData>
    <row r="2" spans="2:11" ht="15">
      <c r="B2" s="217" t="s">
        <v>128</v>
      </c>
      <c r="C2" s="217"/>
      <c r="D2" s="218" t="s">
        <v>129</v>
      </c>
      <c r="E2" s="218"/>
      <c r="F2" s="218"/>
      <c r="G2" s="218"/>
      <c r="H2" s="218"/>
      <c r="I2" s="218"/>
      <c r="J2" s="218"/>
      <c r="K2" s="218"/>
    </row>
    <row r="3" spans="2:11" ht="28.5" customHeight="1">
      <c r="B3" s="217"/>
      <c r="C3" s="217"/>
      <c r="D3" s="219" t="s">
        <v>130</v>
      </c>
      <c r="E3" s="219"/>
      <c r="F3" s="219"/>
      <c r="G3" s="219"/>
      <c r="H3" s="220" t="s">
        <v>131</v>
      </c>
      <c r="I3" s="220"/>
      <c r="J3" s="220"/>
      <c r="K3" s="220"/>
    </row>
    <row r="4" spans="2:11" ht="15">
      <c r="B4" s="221" t="s">
        <v>132</v>
      </c>
      <c r="C4" s="16" t="s">
        <v>133</v>
      </c>
      <c r="D4" s="222" t="s">
        <v>134</v>
      </c>
      <c r="E4" s="223"/>
      <c r="F4" s="223"/>
      <c r="G4" s="223"/>
      <c r="H4" s="222" t="s">
        <v>135</v>
      </c>
      <c r="I4" s="223"/>
      <c r="J4" s="223"/>
      <c r="K4" s="223"/>
    </row>
    <row r="5" spans="2:11" ht="15" customHeight="1">
      <c r="B5" s="221"/>
      <c r="C5" s="17" t="s">
        <v>136</v>
      </c>
      <c r="D5" s="224" t="s">
        <v>137</v>
      </c>
      <c r="E5" s="224"/>
      <c r="F5" s="224"/>
      <c r="G5" s="224"/>
      <c r="H5" s="223" t="s">
        <v>138</v>
      </c>
      <c r="I5" s="223"/>
      <c r="J5" s="223"/>
      <c r="K5" s="223"/>
    </row>
    <row r="7" ht="15.75" thickBot="1"/>
    <row r="8" spans="2:11" ht="15">
      <c r="B8" s="207" t="s">
        <v>139</v>
      </c>
      <c r="C8" s="208"/>
      <c r="D8" s="211" t="s">
        <v>140</v>
      </c>
      <c r="E8" s="212"/>
      <c r="F8" s="212" t="s">
        <v>141</v>
      </c>
      <c r="G8" s="213"/>
      <c r="H8" s="214" t="s">
        <v>142</v>
      </c>
      <c r="I8" s="212"/>
      <c r="J8" s="212"/>
      <c r="K8" s="213"/>
    </row>
    <row r="9" spans="2:11" ht="15.75" thickBot="1">
      <c r="B9" s="209"/>
      <c r="C9" s="210"/>
      <c r="D9" s="108" t="s">
        <v>130</v>
      </c>
      <c r="E9" s="109" t="s">
        <v>131</v>
      </c>
      <c r="F9" s="110" t="s">
        <v>133</v>
      </c>
      <c r="G9" s="111" t="s">
        <v>136</v>
      </c>
      <c r="H9" s="112" t="s">
        <v>143</v>
      </c>
      <c r="I9" s="113" t="s">
        <v>144</v>
      </c>
      <c r="J9" s="113" t="s">
        <v>145</v>
      </c>
      <c r="K9" s="114" t="s">
        <v>146</v>
      </c>
    </row>
    <row r="10" spans="2:11" ht="15">
      <c r="B10" s="215" t="s">
        <v>147</v>
      </c>
      <c r="C10" s="216"/>
      <c r="D10" s="115"/>
      <c r="E10" s="69"/>
      <c r="F10" s="69"/>
      <c r="G10" s="116"/>
      <c r="H10" s="117"/>
      <c r="I10" s="69"/>
      <c r="J10" s="69"/>
      <c r="K10" s="116"/>
    </row>
    <row r="11" spans="2:11" ht="15">
      <c r="B11" s="203" t="s">
        <v>148</v>
      </c>
      <c r="C11" s="204"/>
      <c r="D11" s="118"/>
      <c r="E11" s="1"/>
      <c r="F11" s="1"/>
      <c r="G11" s="119"/>
      <c r="H11" s="120"/>
      <c r="I11" s="1"/>
      <c r="J11" s="1"/>
      <c r="K11" s="119"/>
    </row>
    <row r="12" spans="2:11" ht="15">
      <c r="B12" s="203" t="s">
        <v>149</v>
      </c>
      <c r="C12" s="204"/>
      <c r="D12" s="118"/>
      <c r="E12" s="1"/>
      <c r="F12" s="1"/>
      <c r="G12" s="119"/>
      <c r="H12" s="120"/>
      <c r="I12" s="1"/>
      <c r="J12" s="1"/>
      <c r="K12" s="119"/>
    </row>
    <row r="13" spans="2:11" ht="15">
      <c r="B13" s="203" t="s">
        <v>150</v>
      </c>
      <c r="C13" s="204"/>
      <c r="D13" s="118"/>
      <c r="E13" s="1"/>
      <c r="F13" s="1"/>
      <c r="G13" s="119"/>
      <c r="H13" s="120"/>
      <c r="I13" s="1"/>
      <c r="J13" s="1"/>
      <c r="K13" s="119"/>
    </row>
    <row r="14" spans="2:11" ht="15">
      <c r="B14" s="203" t="s">
        <v>151</v>
      </c>
      <c r="C14" s="204"/>
      <c r="D14" s="118"/>
      <c r="E14" s="1"/>
      <c r="F14" s="1"/>
      <c r="G14" s="119"/>
      <c r="H14" s="120"/>
      <c r="I14" s="1"/>
      <c r="J14" s="1"/>
      <c r="K14" s="119"/>
    </row>
    <row r="15" spans="2:11" ht="15">
      <c r="B15" s="203"/>
      <c r="C15" s="204"/>
      <c r="D15" s="118"/>
      <c r="E15" s="1"/>
      <c r="F15" s="1"/>
      <c r="G15" s="119"/>
      <c r="H15" s="120"/>
      <c r="I15" s="1"/>
      <c r="J15" s="1"/>
      <c r="K15" s="119"/>
    </row>
    <row r="16" spans="2:11" ht="15">
      <c r="B16" s="205" t="s">
        <v>152</v>
      </c>
      <c r="C16" s="206"/>
      <c r="D16" s="118"/>
      <c r="E16" s="1"/>
      <c r="F16" s="1"/>
      <c r="G16" s="119"/>
      <c r="H16" s="120"/>
      <c r="I16" s="1"/>
      <c r="J16" s="1"/>
      <c r="K16" s="119"/>
    </row>
    <row r="17" spans="2:11" ht="15">
      <c r="B17" s="203" t="s">
        <v>153</v>
      </c>
      <c r="C17" s="204"/>
      <c r="D17" s="118"/>
      <c r="E17" s="1"/>
      <c r="F17" s="1"/>
      <c r="G17" s="119"/>
      <c r="H17" s="120"/>
      <c r="I17" s="1"/>
      <c r="J17" s="1"/>
      <c r="K17" s="119"/>
    </row>
    <row r="18" spans="2:11" ht="15">
      <c r="B18" s="203" t="s">
        <v>154</v>
      </c>
      <c r="C18" s="204"/>
      <c r="D18" s="118"/>
      <c r="E18" s="1"/>
      <c r="F18" s="1"/>
      <c r="G18" s="119"/>
      <c r="H18" s="120"/>
      <c r="I18" s="1"/>
      <c r="J18" s="1"/>
      <c r="K18" s="119"/>
    </row>
    <row r="19" spans="2:11" ht="15">
      <c r="B19" s="203" t="s">
        <v>155</v>
      </c>
      <c r="C19" s="204"/>
      <c r="D19" s="118"/>
      <c r="E19" s="1"/>
      <c r="F19" s="1"/>
      <c r="G19" s="119"/>
      <c r="H19" s="120"/>
      <c r="I19" s="1"/>
      <c r="J19" s="1"/>
      <c r="K19" s="119"/>
    </row>
    <row r="20" spans="2:11" ht="15">
      <c r="B20" s="203" t="s">
        <v>156</v>
      </c>
      <c r="C20" s="204"/>
      <c r="D20" s="118"/>
      <c r="E20" s="1"/>
      <c r="F20" s="1"/>
      <c r="G20" s="119"/>
      <c r="H20" s="120"/>
      <c r="I20" s="1"/>
      <c r="J20" s="1"/>
      <c r="K20" s="119"/>
    </row>
    <row r="21" spans="2:11" ht="15">
      <c r="B21" s="203"/>
      <c r="C21" s="204"/>
      <c r="D21" s="118"/>
      <c r="E21" s="1"/>
      <c r="F21" s="1"/>
      <c r="G21" s="119"/>
      <c r="H21" s="120"/>
      <c r="I21" s="1"/>
      <c r="J21" s="1"/>
      <c r="K21" s="119"/>
    </row>
    <row r="22" spans="2:11" ht="15">
      <c r="B22" s="205" t="s">
        <v>157</v>
      </c>
      <c r="C22" s="206"/>
      <c r="D22" s="118"/>
      <c r="E22" s="1"/>
      <c r="F22" s="1"/>
      <c r="G22" s="119"/>
      <c r="H22" s="120"/>
      <c r="I22" s="1"/>
      <c r="J22" s="1"/>
      <c r="K22" s="119"/>
    </row>
    <row r="23" spans="2:11" ht="15">
      <c r="B23" s="203" t="s">
        <v>158</v>
      </c>
      <c r="C23" s="204"/>
      <c r="D23" s="118"/>
      <c r="E23" s="1"/>
      <c r="F23" s="1"/>
      <c r="G23" s="119"/>
      <c r="H23" s="120"/>
      <c r="I23" s="1"/>
      <c r="J23" s="1"/>
      <c r="K23" s="119"/>
    </row>
    <row r="24" spans="2:11" ht="15.75" thickBot="1">
      <c r="B24" s="201"/>
      <c r="C24" s="202"/>
      <c r="D24" s="121"/>
      <c r="E24" s="122"/>
      <c r="F24" s="122"/>
      <c r="G24" s="123"/>
      <c r="H24" s="124"/>
      <c r="I24" s="122"/>
      <c r="J24" s="122"/>
      <c r="K24" s="123"/>
    </row>
    <row r="26" ht="18">
      <c r="B26" s="125" t="s">
        <v>159</v>
      </c>
    </row>
    <row r="27" spans="2:9" ht="15">
      <c r="B27" s="199" t="s">
        <v>160</v>
      </c>
      <c r="C27" s="200"/>
      <c r="D27" s="187" t="s">
        <v>2</v>
      </c>
      <c r="E27" s="187"/>
      <c r="F27" s="187"/>
      <c r="G27" s="187"/>
      <c r="H27" s="199" t="s">
        <v>161</v>
      </c>
      <c r="I27" s="200"/>
    </row>
    <row r="28" spans="2:9" ht="15">
      <c r="B28" s="186" t="s">
        <v>162</v>
      </c>
      <c r="C28" s="186"/>
      <c r="D28" s="186" t="s">
        <v>163</v>
      </c>
      <c r="E28" s="186"/>
      <c r="F28" s="186"/>
      <c r="G28" s="186"/>
      <c r="H28" s="185"/>
      <c r="I28" s="185"/>
    </row>
    <row r="29" spans="2:9" ht="15" customHeight="1">
      <c r="B29" s="194" t="s">
        <v>164</v>
      </c>
      <c r="C29" s="194"/>
      <c r="D29" s="186"/>
      <c r="E29" s="186"/>
      <c r="F29" s="186"/>
      <c r="G29" s="186"/>
      <c r="H29" s="185"/>
      <c r="I29" s="185"/>
    </row>
    <row r="30" spans="2:9" ht="15">
      <c r="B30" s="194"/>
      <c r="C30" s="194"/>
      <c r="D30" s="186"/>
      <c r="E30" s="186"/>
      <c r="F30" s="186"/>
      <c r="G30" s="186"/>
      <c r="H30" s="185"/>
      <c r="I30" s="185"/>
    </row>
    <row r="31" spans="2:9" ht="15">
      <c r="B31" s="194"/>
      <c r="C31" s="194"/>
      <c r="D31" s="186"/>
      <c r="E31" s="186"/>
      <c r="F31" s="186"/>
      <c r="G31" s="186"/>
      <c r="H31" s="185"/>
      <c r="I31" s="185"/>
    </row>
    <row r="32" spans="2:9" ht="15">
      <c r="B32" s="195" t="s">
        <v>165</v>
      </c>
      <c r="C32" s="196"/>
      <c r="D32" s="186" t="s">
        <v>166</v>
      </c>
      <c r="E32" s="186"/>
      <c r="F32" s="186"/>
      <c r="G32" s="186"/>
      <c r="H32" s="185"/>
      <c r="I32" s="185"/>
    </row>
    <row r="33" spans="2:9" ht="15">
      <c r="B33" s="197"/>
      <c r="C33" s="198"/>
      <c r="D33" s="186" t="s">
        <v>174</v>
      </c>
      <c r="E33" s="186"/>
      <c r="F33" s="186"/>
      <c r="G33" s="186"/>
      <c r="H33" s="185"/>
      <c r="I33" s="185"/>
    </row>
    <row r="34" spans="2:9" ht="15">
      <c r="B34" s="191" t="s">
        <v>167</v>
      </c>
      <c r="C34" s="192"/>
      <c r="D34" s="192"/>
      <c r="E34" s="192"/>
      <c r="F34" s="192"/>
      <c r="G34" s="193"/>
      <c r="H34" s="185">
        <f>SUM(H28:I33)</f>
        <v>0</v>
      </c>
      <c r="I34" s="185"/>
    </row>
    <row r="36" spans="2:5" ht="15">
      <c r="B36" s="188" t="s">
        <v>175</v>
      </c>
      <c r="C36" s="188"/>
      <c r="D36" s="188" t="s">
        <v>3</v>
      </c>
      <c r="E36" s="188"/>
    </row>
    <row r="37" spans="2:5" ht="15">
      <c r="B37" s="186" t="s">
        <v>176</v>
      </c>
      <c r="C37" s="186"/>
      <c r="D37" s="185"/>
      <c r="E37" s="185"/>
    </row>
    <row r="38" spans="2:6" ht="15">
      <c r="B38" s="186" t="s">
        <v>177</v>
      </c>
      <c r="C38" s="186"/>
      <c r="D38" s="185"/>
      <c r="E38" s="185"/>
      <c r="F38" t="s">
        <v>189</v>
      </c>
    </row>
    <row r="39" spans="2:5" ht="15">
      <c r="B39" s="189" t="s">
        <v>178</v>
      </c>
      <c r="C39" s="189"/>
      <c r="D39" s="185">
        <f>SUM(D37:E38)</f>
        <v>0</v>
      </c>
      <c r="E39" s="185"/>
    </row>
    <row r="40" spans="2:5" ht="15">
      <c r="B40" s="190" t="s">
        <v>179</v>
      </c>
      <c r="C40" s="190"/>
      <c r="D40" s="185">
        <f>H34-D39</f>
        <v>0</v>
      </c>
      <c r="E40" s="185"/>
    </row>
    <row r="42" spans="2:9" ht="18">
      <c r="B42" s="125" t="s">
        <v>168</v>
      </c>
      <c r="G42" s="31" t="s">
        <v>181</v>
      </c>
      <c r="H42">
        <v>10</v>
      </c>
      <c r="I42" t="s">
        <v>169</v>
      </c>
    </row>
    <row r="43" spans="2:7" ht="15">
      <c r="B43" s="187" t="s">
        <v>2</v>
      </c>
      <c r="C43" s="187"/>
      <c r="D43" s="187" t="s">
        <v>170</v>
      </c>
      <c r="E43" s="187"/>
      <c r="F43" s="187" t="s">
        <v>171</v>
      </c>
      <c r="G43" s="187"/>
    </row>
    <row r="44" spans="2:7" ht="15">
      <c r="B44" s="186" t="s">
        <v>172</v>
      </c>
      <c r="C44" s="186"/>
      <c r="D44" s="185"/>
      <c r="E44" s="185"/>
      <c r="F44" s="185">
        <f>D44*$H$42*12</f>
        <v>0</v>
      </c>
      <c r="G44" s="185"/>
    </row>
    <row r="45" spans="2:7" ht="15">
      <c r="B45" s="186" t="s">
        <v>180</v>
      </c>
      <c r="C45" s="186"/>
      <c r="D45" s="185"/>
      <c r="E45" s="185"/>
      <c r="F45" s="185">
        <f>D45*$H$42*12</f>
        <v>0</v>
      </c>
      <c r="G45" s="185"/>
    </row>
    <row r="46" spans="2:7" ht="15">
      <c r="B46" s="189" t="s">
        <v>126</v>
      </c>
      <c r="C46" s="189"/>
      <c r="D46" s="185">
        <f>SUM(D44:E45)</f>
        <v>0</v>
      </c>
      <c r="E46" s="185"/>
      <c r="F46" s="185">
        <f>SUM(F44:G45)</f>
        <v>0</v>
      </c>
      <c r="G46" s="185"/>
    </row>
    <row r="48" spans="2:5" ht="15">
      <c r="B48" s="188" t="s">
        <v>175</v>
      </c>
      <c r="C48" s="188"/>
      <c r="D48" s="188" t="s">
        <v>3</v>
      </c>
      <c r="E48" s="188"/>
    </row>
    <row r="49" spans="2:5" ht="15">
      <c r="B49" s="186" t="s">
        <v>182</v>
      </c>
      <c r="C49" s="186"/>
      <c r="D49" s="185"/>
      <c r="E49" s="185"/>
    </row>
    <row r="50" spans="2:6" ht="15">
      <c r="B50" s="186" t="s">
        <v>177</v>
      </c>
      <c r="C50" s="186"/>
      <c r="D50" s="185"/>
      <c r="E50" s="185"/>
      <c r="F50" t="s">
        <v>190</v>
      </c>
    </row>
    <row r="51" spans="2:5" ht="15">
      <c r="B51" s="189" t="s">
        <v>178</v>
      </c>
      <c r="C51" s="189"/>
      <c r="D51" s="185">
        <f>SUM(D49:E50)</f>
        <v>0</v>
      </c>
      <c r="E51" s="185"/>
    </row>
    <row r="52" spans="2:5" ht="15">
      <c r="B52" s="190" t="s">
        <v>183</v>
      </c>
      <c r="C52" s="190"/>
      <c r="D52" s="185">
        <f>F46-D51</f>
        <v>0</v>
      </c>
      <c r="E52" s="185"/>
    </row>
    <row r="54" ht="18">
      <c r="B54" s="125" t="s">
        <v>173</v>
      </c>
    </row>
    <row r="55" spans="2:5" ht="15">
      <c r="B55" s="187" t="s">
        <v>186</v>
      </c>
      <c r="C55" s="187"/>
      <c r="D55" s="187" t="s">
        <v>187</v>
      </c>
      <c r="E55" s="187"/>
    </row>
    <row r="56" spans="2:5" ht="15">
      <c r="B56" s="186" t="s">
        <v>184</v>
      </c>
      <c r="C56" s="186"/>
      <c r="D56" s="185"/>
      <c r="E56" s="185"/>
    </row>
    <row r="57" spans="2:5" ht="15">
      <c r="B57" s="186" t="s">
        <v>185</v>
      </c>
      <c r="C57" s="186"/>
      <c r="D57" s="185"/>
      <c r="E57" s="185"/>
    </row>
    <row r="58" spans="2:5" ht="15">
      <c r="B58" s="189" t="s">
        <v>126</v>
      </c>
      <c r="C58" s="189"/>
      <c r="D58" s="185">
        <f>SUM(D56:E57)</f>
        <v>0</v>
      </c>
      <c r="E58" s="185"/>
    </row>
    <row r="60" spans="2:5" ht="15">
      <c r="B60" s="188" t="s">
        <v>175</v>
      </c>
      <c r="C60" s="188"/>
      <c r="D60" s="188" t="s">
        <v>3</v>
      </c>
      <c r="E60" s="188"/>
    </row>
    <row r="61" spans="2:5" ht="15">
      <c r="B61" s="186" t="s">
        <v>188</v>
      </c>
      <c r="C61" s="186"/>
      <c r="D61" s="185"/>
      <c r="E61" s="185"/>
    </row>
    <row r="62" spans="2:6" ht="15">
      <c r="B62" s="186" t="s">
        <v>177</v>
      </c>
      <c r="C62" s="186"/>
      <c r="D62" s="185"/>
      <c r="E62" s="185"/>
      <c r="F62" t="s">
        <v>191</v>
      </c>
    </row>
    <row r="63" spans="2:5" ht="15">
      <c r="B63" s="189" t="s">
        <v>178</v>
      </c>
      <c r="C63" s="189"/>
      <c r="D63" s="185">
        <f>SUM(D61:E62)</f>
        <v>0</v>
      </c>
      <c r="E63" s="185"/>
    </row>
    <row r="64" spans="2:5" ht="15">
      <c r="B64" s="190" t="s">
        <v>183</v>
      </c>
      <c r="C64" s="190"/>
      <c r="D64" s="185">
        <f>D58-D63</f>
        <v>0</v>
      </c>
      <c r="E64" s="185"/>
    </row>
    <row r="66" ht="18">
      <c r="B66" s="125" t="s">
        <v>192</v>
      </c>
    </row>
    <row r="67" spans="2:9" ht="15">
      <c r="B67" s="187" t="s">
        <v>186</v>
      </c>
      <c r="C67" s="187"/>
      <c r="D67" s="187" t="s">
        <v>187</v>
      </c>
      <c r="E67" s="187"/>
      <c r="F67" s="188" t="s">
        <v>194</v>
      </c>
      <c r="G67" s="188"/>
      <c r="H67" s="184" t="s">
        <v>183</v>
      </c>
      <c r="I67" s="184"/>
    </row>
    <row r="68" spans="2:9" ht="15">
      <c r="B68" s="186" t="s">
        <v>193</v>
      </c>
      <c r="C68" s="186"/>
      <c r="D68" s="185"/>
      <c r="E68" s="185"/>
      <c r="F68" s="185"/>
      <c r="G68" s="185"/>
      <c r="H68" s="185">
        <f>D68-F68</f>
        <v>0</v>
      </c>
      <c r="I68" s="185"/>
    </row>
    <row r="69" spans="2:9" ht="15">
      <c r="B69" s="186" t="s">
        <v>195</v>
      </c>
      <c r="C69" s="186"/>
      <c r="D69" s="185"/>
      <c r="E69" s="185"/>
      <c r="F69" s="185"/>
      <c r="G69" s="185"/>
      <c r="H69" s="185">
        <f>D69-F69</f>
        <v>0</v>
      </c>
      <c r="I69" s="185"/>
    </row>
    <row r="70" spans="2:9" ht="15">
      <c r="B70" s="186" t="s">
        <v>196</v>
      </c>
      <c r="C70" s="186"/>
      <c r="D70" s="185"/>
      <c r="E70" s="185"/>
      <c r="F70" s="185"/>
      <c r="G70" s="185"/>
      <c r="H70" s="185">
        <f>D70-F70</f>
        <v>0</v>
      </c>
      <c r="I70" s="185"/>
    </row>
  </sheetData>
  <sheetProtection/>
  <mergeCells count="114">
    <mergeCell ref="B2:C3"/>
    <mergeCell ref="D2:K2"/>
    <mergeCell ref="D3:G3"/>
    <mergeCell ref="H3:K3"/>
    <mergeCell ref="B4:B5"/>
    <mergeCell ref="D4:G4"/>
    <mergeCell ref="H4:K4"/>
    <mergeCell ref="D5:G5"/>
    <mergeCell ref="H5:K5"/>
    <mergeCell ref="B8:C9"/>
    <mergeCell ref="D8:E8"/>
    <mergeCell ref="F8:G8"/>
    <mergeCell ref="H8:K8"/>
    <mergeCell ref="B10:C10"/>
    <mergeCell ref="B11:C11"/>
    <mergeCell ref="B12:C12"/>
    <mergeCell ref="B13:C13"/>
    <mergeCell ref="B14:C14"/>
    <mergeCell ref="B15:C15"/>
    <mergeCell ref="B16:C16"/>
    <mergeCell ref="B17:C17"/>
    <mergeCell ref="B50:C50"/>
    <mergeCell ref="D50:E50"/>
    <mergeCell ref="B18:C18"/>
    <mergeCell ref="B19:C19"/>
    <mergeCell ref="B20:C20"/>
    <mergeCell ref="B21:C21"/>
    <mergeCell ref="B22:C22"/>
    <mergeCell ref="B23:C23"/>
    <mergeCell ref="D44:E44"/>
    <mergeCell ref="D45:E45"/>
    <mergeCell ref="F45:G45"/>
    <mergeCell ref="F46:G46"/>
    <mergeCell ref="B24:C24"/>
    <mergeCell ref="B48:C48"/>
    <mergeCell ref="D48:E48"/>
    <mergeCell ref="B49:C49"/>
    <mergeCell ref="D49:E49"/>
    <mergeCell ref="B45:C45"/>
    <mergeCell ref="B46:C46"/>
    <mergeCell ref="D43:E43"/>
    <mergeCell ref="D46:E46"/>
    <mergeCell ref="B27:C27"/>
    <mergeCell ref="D27:G27"/>
    <mergeCell ref="H27:I27"/>
    <mergeCell ref="B28:C28"/>
    <mergeCell ref="B43:C43"/>
    <mergeCell ref="B44:C44"/>
    <mergeCell ref="F43:G43"/>
    <mergeCell ref="F44:G44"/>
    <mergeCell ref="D28:G28"/>
    <mergeCell ref="D30:G30"/>
    <mergeCell ref="D31:G31"/>
    <mergeCell ref="D32:G32"/>
    <mergeCell ref="D33:G33"/>
    <mergeCell ref="B29:C31"/>
    <mergeCell ref="B32:C33"/>
    <mergeCell ref="B39:C39"/>
    <mergeCell ref="D39:E39"/>
    <mergeCell ref="B40:C40"/>
    <mergeCell ref="D40:E40"/>
    <mergeCell ref="H28:I28"/>
    <mergeCell ref="H29:I29"/>
    <mergeCell ref="H30:I30"/>
    <mergeCell ref="H31:I31"/>
    <mergeCell ref="H32:I32"/>
    <mergeCell ref="D29:G29"/>
    <mergeCell ref="H33:I33"/>
    <mergeCell ref="H34:I34"/>
    <mergeCell ref="B36:C36"/>
    <mergeCell ref="B37:C37"/>
    <mergeCell ref="B38:C38"/>
    <mergeCell ref="D36:E36"/>
    <mergeCell ref="D37:E37"/>
    <mergeCell ref="D38:E38"/>
    <mergeCell ref="B34:G34"/>
    <mergeCell ref="B51:C51"/>
    <mergeCell ref="D51:E51"/>
    <mergeCell ref="B52:C52"/>
    <mergeCell ref="D52:E52"/>
    <mergeCell ref="B55:C55"/>
    <mergeCell ref="D55:E55"/>
    <mergeCell ref="B56:C56"/>
    <mergeCell ref="D56:E56"/>
    <mergeCell ref="B57:C57"/>
    <mergeCell ref="D57:E57"/>
    <mergeCell ref="B58:C58"/>
    <mergeCell ref="D58:E58"/>
    <mergeCell ref="B60:C60"/>
    <mergeCell ref="D60:E60"/>
    <mergeCell ref="B61:C61"/>
    <mergeCell ref="D61:E61"/>
    <mergeCell ref="B62:C62"/>
    <mergeCell ref="D62:E62"/>
    <mergeCell ref="F68:G68"/>
    <mergeCell ref="F69:G69"/>
    <mergeCell ref="F70:G70"/>
    <mergeCell ref="B63:C63"/>
    <mergeCell ref="D63:E63"/>
    <mergeCell ref="B64:C64"/>
    <mergeCell ref="D64:E64"/>
    <mergeCell ref="B67:C67"/>
    <mergeCell ref="B68:C68"/>
    <mergeCell ref="D68:E68"/>
    <mergeCell ref="H67:I67"/>
    <mergeCell ref="H68:I68"/>
    <mergeCell ref="H69:I69"/>
    <mergeCell ref="H70:I70"/>
    <mergeCell ref="B69:C69"/>
    <mergeCell ref="D69:E69"/>
    <mergeCell ref="B70:C70"/>
    <mergeCell ref="D70:E70"/>
    <mergeCell ref="D67:E67"/>
    <mergeCell ref="F67:G6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8.8515625" style="0" customWidth="1"/>
    <col min="2" max="2" width="18.140625" style="0" customWidth="1"/>
    <col min="3" max="3" width="14.140625" style="0" bestFit="1" customWidth="1"/>
    <col min="4" max="4" width="11.00390625" style="0" customWidth="1"/>
    <col min="5" max="5" width="10.8515625" style="0" bestFit="1" customWidth="1"/>
  </cols>
  <sheetData>
    <row r="1" ht="15.75">
      <c r="A1" s="107" t="s">
        <v>213</v>
      </c>
    </row>
    <row r="3" spans="1:3" ht="15">
      <c r="A3" s="225" t="s">
        <v>197</v>
      </c>
      <c r="B3" s="225"/>
      <c r="C3" s="133">
        <v>0.035</v>
      </c>
    </row>
    <row r="4" spans="1:3" ht="15">
      <c r="A4" s="225" t="s">
        <v>200</v>
      </c>
      <c r="B4" s="225"/>
      <c r="C4" s="8">
        <v>33</v>
      </c>
    </row>
    <row r="5" spans="1:3" ht="15">
      <c r="A5" s="225" t="s">
        <v>201</v>
      </c>
      <c r="B5" s="225"/>
      <c r="C5" s="8">
        <v>60</v>
      </c>
    </row>
    <row r="6" spans="1:3" ht="15">
      <c r="A6" s="225" t="s">
        <v>202</v>
      </c>
      <c r="B6" s="225"/>
      <c r="C6" s="8">
        <v>90</v>
      </c>
    </row>
    <row r="7" spans="1:4" ht="15">
      <c r="A7" s="225" t="s">
        <v>199</v>
      </c>
      <c r="B7" s="225"/>
      <c r="C7" s="13">
        <v>360000</v>
      </c>
      <c r="D7" t="s">
        <v>207</v>
      </c>
    </row>
    <row r="8" spans="1:4" ht="15">
      <c r="A8" s="225" t="s">
        <v>199</v>
      </c>
      <c r="B8" s="225"/>
      <c r="C8" s="99">
        <f>-FV(C3,C5-C4,0,C7,1)</f>
        <v>911364.1589777255</v>
      </c>
      <c r="D8" t="s">
        <v>208</v>
      </c>
    </row>
    <row r="9" spans="1:3" ht="15">
      <c r="A9" s="225" t="s">
        <v>209</v>
      </c>
      <c r="B9" s="225"/>
      <c r="C9" s="94">
        <f>C8*(C6-C5)</f>
        <v>27340924.76933177</v>
      </c>
    </row>
    <row r="10" spans="1:3" ht="15">
      <c r="A10" s="225" t="s">
        <v>198</v>
      </c>
      <c r="B10" s="225"/>
      <c r="C10" s="133">
        <v>0.1</v>
      </c>
    </row>
    <row r="11" spans="1:3" ht="15">
      <c r="A11" s="225" t="s">
        <v>211</v>
      </c>
      <c r="B11" s="225"/>
      <c r="C11" s="13">
        <v>300000</v>
      </c>
    </row>
    <row r="12" spans="1:3" ht="15">
      <c r="A12" s="225" t="s">
        <v>210</v>
      </c>
      <c r="B12" s="225"/>
      <c r="C12" s="94">
        <f>-PMT(C10,C5-C4+1,-C11,C9,1)</f>
        <v>155892.98753473468</v>
      </c>
    </row>
    <row r="14" spans="1:5" ht="15">
      <c r="A14" s="226" t="s">
        <v>214</v>
      </c>
      <c r="B14" s="227"/>
      <c r="C14" s="227"/>
      <c r="D14" s="227"/>
      <c r="E14" s="228"/>
    </row>
    <row r="15" spans="1:5" ht="15">
      <c r="A15" s="134" t="s">
        <v>212</v>
      </c>
      <c r="B15" s="135" t="s">
        <v>203</v>
      </c>
      <c r="C15" s="135" t="s">
        <v>204</v>
      </c>
      <c r="D15" s="135" t="s">
        <v>205</v>
      </c>
      <c r="E15" s="135" t="s">
        <v>206</v>
      </c>
    </row>
    <row r="16" spans="1:5" ht="15">
      <c r="A16" s="70">
        <f>C4</f>
        <v>33</v>
      </c>
      <c r="B16" s="129">
        <f>C11+C12</f>
        <v>455892.98753473465</v>
      </c>
      <c r="C16" s="128">
        <f>B16</f>
        <v>455892.98753473465</v>
      </c>
      <c r="D16" s="130">
        <f>$C$10*C16</f>
        <v>45589.29875347347</v>
      </c>
      <c r="E16" s="127">
        <f aca="true" t="shared" si="0" ref="E16:E24">SUM(C16:D16)</f>
        <v>501482.2862882081</v>
      </c>
    </row>
    <row r="17" spans="1:5" ht="15">
      <c r="A17" s="70">
        <f>A16+1</f>
        <v>34</v>
      </c>
      <c r="B17" s="129">
        <f>$C$12</f>
        <v>155892.98753473468</v>
      </c>
      <c r="C17" s="128">
        <f aca="true" t="shared" si="1" ref="C17:C42">E16+B17</f>
        <v>657375.2738229427</v>
      </c>
      <c r="D17" s="130">
        <f aca="true" t="shared" si="2" ref="D17:D43">$C$10*C17</f>
        <v>65737.52738229428</v>
      </c>
      <c r="E17" s="127">
        <f t="shared" si="0"/>
        <v>723112.801205237</v>
      </c>
    </row>
    <row r="18" spans="1:5" ht="15">
      <c r="A18" s="70">
        <f aca="true" t="shared" si="3" ref="A18:A43">A17+1</f>
        <v>35</v>
      </c>
      <c r="B18" s="129">
        <f aca="true" t="shared" si="4" ref="B18:B43">$C$12</f>
        <v>155892.98753473468</v>
      </c>
      <c r="C18" s="128">
        <f t="shared" si="1"/>
        <v>879005.7887399717</v>
      </c>
      <c r="D18" s="130">
        <f t="shared" si="2"/>
        <v>87900.57887399718</v>
      </c>
      <c r="E18" s="127">
        <f t="shared" si="0"/>
        <v>966906.3676139689</v>
      </c>
    </row>
    <row r="19" spans="1:5" ht="15">
      <c r="A19" s="70">
        <f t="shared" si="3"/>
        <v>36</v>
      </c>
      <c r="B19" s="129">
        <f t="shared" si="4"/>
        <v>155892.98753473468</v>
      </c>
      <c r="C19" s="128">
        <f t="shared" si="1"/>
        <v>1122799.3551487036</v>
      </c>
      <c r="D19" s="130">
        <f t="shared" si="2"/>
        <v>112279.93551487036</v>
      </c>
      <c r="E19" s="127">
        <f t="shared" si="0"/>
        <v>1235079.290663574</v>
      </c>
    </row>
    <row r="20" spans="1:5" ht="15">
      <c r="A20" s="70">
        <f t="shared" si="3"/>
        <v>37</v>
      </c>
      <c r="B20" s="129">
        <f t="shared" si="4"/>
        <v>155892.98753473468</v>
      </c>
      <c r="C20" s="128">
        <f t="shared" si="1"/>
        <v>1390972.2781983085</v>
      </c>
      <c r="D20" s="130">
        <f t="shared" si="2"/>
        <v>139097.22781983085</v>
      </c>
      <c r="E20" s="127">
        <f t="shared" si="0"/>
        <v>1530069.5060181394</v>
      </c>
    </row>
    <row r="21" spans="1:5" ht="15">
      <c r="A21" s="70">
        <f t="shared" si="3"/>
        <v>38</v>
      </c>
      <c r="B21" s="129">
        <f t="shared" si="4"/>
        <v>155892.98753473468</v>
      </c>
      <c r="C21" s="128">
        <f t="shared" si="1"/>
        <v>1685962.493552874</v>
      </c>
      <c r="D21" s="130">
        <f t="shared" si="2"/>
        <v>168596.2493552874</v>
      </c>
      <c r="E21" s="127">
        <f t="shared" si="0"/>
        <v>1854558.7429081616</v>
      </c>
    </row>
    <row r="22" spans="1:5" ht="15">
      <c r="A22" s="70">
        <f t="shared" si="3"/>
        <v>39</v>
      </c>
      <c r="B22" s="129">
        <f t="shared" si="4"/>
        <v>155892.98753473468</v>
      </c>
      <c r="C22" s="128">
        <f t="shared" si="1"/>
        <v>2010451.7304428963</v>
      </c>
      <c r="D22" s="130">
        <f t="shared" si="2"/>
        <v>201045.17304428964</v>
      </c>
      <c r="E22" s="127">
        <f t="shared" si="0"/>
        <v>2211496.903487186</v>
      </c>
    </row>
    <row r="23" spans="1:5" ht="15">
      <c r="A23" s="70">
        <f t="shared" si="3"/>
        <v>40</v>
      </c>
      <c r="B23" s="129">
        <f t="shared" si="4"/>
        <v>155892.98753473468</v>
      </c>
      <c r="C23" s="128">
        <f t="shared" si="1"/>
        <v>2367389.891021921</v>
      </c>
      <c r="D23" s="130">
        <f t="shared" si="2"/>
        <v>236738.9891021921</v>
      </c>
      <c r="E23" s="127">
        <f t="shared" si="0"/>
        <v>2604128.880124113</v>
      </c>
    </row>
    <row r="24" spans="1:5" ht="15">
      <c r="A24" s="70">
        <f t="shared" si="3"/>
        <v>41</v>
      </c>
      <c r="B24" s="129">
        <f t="shared" si="4"/>
        <v>155892.98753473468</v>
      </c>
      <c r="C24" s="128">
        <f t="shared" si="1"/>
        <v>2760021.867658848</v>
      </c>
      <c r="D24" s="130">
        <f t="shared" si="2"/>
        <v>276002.1867658848</v>
      </c>
      <c r="E24" s="127">
        <f t="shared" si="0"/>
        <v>3036024.054424733</v>
      </c>
    </row>
    <row r="25" spans="1:5" ht="15">
      <c r="A25" s="70">
        <f t="shared" si="3"/>
        <v>42</v>
      </c>
      <c r="B25" s="129">
        <f t="shared" si="4"/>
        <v>155892.98753473468</v>
      </c>
      <c r="C25" s="128">
        <f t="shared" si="1"/>
        <v>3191917.041959468</v>
      </c>
      <c r="D25" s="130">
        <f t="shared" si="2"/>
        <v>319191.7041959468</v>
      </c>
      <c r="E25" s="127">
        <f aca="true" t="shared" si="5" ref="E25:E42">SUM(C25:D25)</f>
        <v>3511108.7461554147</v>
      </c>
    </row>
    <row r="26" spans="1:5" ht="15">
      <c r="A26" s="70">
        <f t="shared" si="3"/>
        <v>43</v>
      </c>
      <c r="B26" s="129">
        <f t="shared" si="4"/>
        <v>155892.98753473468</v>
      </c>
      <c r="C26" s="128">
        <f t="shared" si="1"/>
        <v>3667001.7336901496</v>
      </c>
      <c r="D26" s="130">
        <f t="shared" si="2"/>
        <v>366700.173369015</v>
      </c>
      <c r="E26" s="127">
        <f t="shared" si="5"/>
        <v>4033701.9070591647</v>
      </c>
    </row>
    <row r="27" spans="1:5" ht="15">
      <c r="A27" s="70">
        <f t="shared" si="3"/>
        <v>44</v>
      </c>
      <c r="B27" s="129">
        <f t="shared" si="4"/>
        <v>155892.98753473468</v>
      </c>
      <c r="C27" s="128">
        <f t="shared" si="1"/>
        <v>4189594.8945938996</v>
      </c>
      <c r="D27" s="130">
        <f t="shared" si="2"/>
        <v>418959.48945939</v>
      </c>
      <c r="E27" s="127">
        <f t="shared" si="5"/>
        <v>4608554.38405329</v>
      </c>
    </row>
    <row r="28" spans="1:5" ht="15">
      <c r="A28" s="70">
        <f t="shared" si="3"/>
        <v>45</v>
      </c>
      <c r="B28" s="129">
        <f t="shared" si="4"/>
        <v>155892.98753473468</v>
      </c>
      <c r="C28" s="128">
        <f t="shared" si="1"/>
        <v>4764447.371588024</v>
      </c>
      <c r="D28" s="130">
        <f t="shared" si="2"/>
        <v>476444.73715880245</v>
      </c>
      <c r="E28" s="127">
        <f t="shared" si="5"/>
        <v>5240892.108746827</v>
      </c>
    </row>
    <row r="29" spans="1:5" ht="15">
      <c r="A29" s="70">
        <f t="shared" si="3"/>
        <v>46</v>
      </c>
      <c r="B29" s="129">
        <f t="shared" si="4"/>
        <v>155892.98753473468</v>
      </c>
      <c r="C29" s="128">
        <f t="shared" si="1"/>
        <v>5396785.096281561</v>
      </c>
      <c r="D29" s="130">
        <f t="shared" si="2"/>
        <v>539678.5096281561</v>
      </c>
      <c r="E29" s="127">
        <f t="shared" si="5"/>
        <v>5936463.605909717</v>
      </c>
    </row>
    <row r="30" spans="1:5" ht="15">
      <c r="A30" s="70">
        <f t="shared" si="3"/>
        <v>47</v>
      </c>
      <c r="B30" s="129">
        <f t="shared" si="4"/>
        <v>155892.98753473468</v>
      </c>
      <c r="C30" s="128">
        <f t="shared" si="1"/>
        <v>6092356.593444452</v>
      </c>
      <c r="D30" s="130">
        <f t="shared" si="2"/>
        <v>609235.6593444452</v>
      </c>
      <c r="E30" s="127">
        <f t="shared" si="5"/>
        <v>6701592.252788897</v>
      </c>
    </row>
    <row r="31" spans="1:5" ht="15">
      <c r="A31" s="70">
        <f t="shared" si="3"/>
        <v>48</v>
      </c>
      <c r="B31" s="129">
        <f t="shared" si="4"/>
        <v>155892.98753473468</v>
      </c>
      <c r="C31" s="128">
        <f t="shared" si="1"/>
        <v>6857485.240323631</v>
      </c>
      <c r="D31" s="130">
        <f t="shared" si="2"/>
        <v>685748.5240323632</v>
      </c>
      <c r="E31" s="127">
        <f t="shared" si="5"/>
        <v>7543233.764355995</v>
      </c>
    </row>
    <row r="32" spans="1:5" ht="15">
      <c r="A32" s="70">
        <f t="shared" si="3"/>
        <v>49</v>
      </c>
      <c r="B32" s="129">
        <f t="shared" si="4"/>
        <v>155892.98753473468</v>
      </c>
      <c r="C32" s="128">
        <f t="shared" si="1"/>
        <v>7699126.751890729</v>
      </c>
      <c r="D32" s="130">
        <f t="shared" si="2"/>
        <v>769912.675189073</v>
      </c>
      <c r="E32" s="127">
        <f t="shared" si="5"/>
        <v>8469039.427079802</v>
      </c>
    </row>
    <row r="33" spans="1:5" ht="15">
      <c r="A33" s="70">
        <f t="shared" si="3"/>
        <v>50</v>
      </c>
      <c r="B33" s="129">
        <f t="shared" si="4"/>
        <v>155892.98753473468</v>
      </c>
      <c r="C33" s="128">
        <f t="shared" si="1"/>
        <v>8624932.414614538</v>
      </c>
      <c r="D33" s="130">
        <f t="shared" si="2"/>
        <v>862493.2414614538</v>
      </c>
      <c r="E33" s="127">
        <f t="shared" si="5"/>
        <v>9487425.656075992</v>
      </c>
    </row>
    <row r="34" spans="1:5" ht="15">
      <c r="A34" s="70">
        <f t="shared" si="3"/>
        <v>51</v>
      </c>
      <c r="B34" s="129">
        <f t="shared" si="4"/>
        <v>155892.98753473468</v>
      </c>
      <c r="C34" s="128">
        <f t="shared" si="1"/>
        <v>9643318.643610727</v>
      </c>
      <c r="D34" s="130">
        <f t="shared" si="2"/>
        <v>964331.8643610728</v>
      </c>
      <c r="E34" s="127">
        <f t="shared" si="5"/>
        <v>10607650.507971799</v>
      </c>
    </row>
    <row r="35" spans="1:5" ht="15">
      <c r="A35" s="70">
        <f t="shared" si="3"/>
        <v>52</v>
      </c>
      <c r="B35" s="129">
        <f t="shared" si="4"/>
        <v>155892.98753473468</v>
      </c>
      <c r="C35" s="128">
        <f t="shared" si="1"/>
        <v>10763543.495506534</v>
      </c>
      <c r="D35" s="130">
        <f t="shared" si="2"/>
        <v>1076354.3495506535</v>
      </c>
      <c r="E35" s="127">
        <f t="shared" si="5"/>
        <v>11839897.845057188</v>
      </c>
    </row>
    <row r="36" spans="1:5" ht="15">
      <c r="A36" s="70">
        <f t="shared" si="3"/>
        <v>53</v>
      </c>
      <c r="B36" s="129">
        <f t="shared" si="4"/>
        <v>155892.98753473468</v>
      </c>
      <c r="C36" s="128">
        <f t="shared" si="1"/>
        <v>11995790.832591923</v>
      </c>
      <c r="D36" s="130">
        <f t="shared" si="2"/>
        <v>1199579.0832591923</v>
      </c>
      <c r="E36" s="127">
        <f t="shared" si="5"/>
        <v>13195369.915851116</v>
      </c>
    </row>
    <row r="37" spans="1:5" ht="15">
      <c r="A37" s="70">
        <f t="shared" si="3"/>
        <v>54</v>
      </c>
      <c r="B37" s="129">
        <f t="shared" si="4"/>
        <v>155892.98753473468</v>
      </c>
      <c r="C37" s="128">
        <f t="shared" si="1"/>
        <v>13351262.903385852</v>
      </c>
      <c r="D37" s="130">
        <f t="shared" si="2"/>
        <v>1335126.2903385852</v>
      </c>
      <c r="E37" s="127">
        <f t="shared" si="5"/>
        <v>14686389.193724437</v>
      </c>
    </row>
    <row r="38" spans="1:5" ht="15">
      <c r="A38" s="70">
        <f t="shared" si="3"/>
        <v>55</v>
      </c>
      <c r="B38" s="129">
        <f t="shared" si="4"/>
        <v>155892.98753473468</v>
      </c>
      <c r="C38" s="128">
        <f t="shared" si="1"/>
        <v>14842282.181259172</v>
      </c>
      <c r="D38" s="130">
        <f t="shared" si="2"/>
        <v>1484228.2181259173</v>
      </c>
      <c r="E38" s="127">
        <f t="shared" si="5"/>
        <v>16326510.399385089</v>
      </c>
    </row>
    <row r="39" spans="1:5" ht="15">
      <c r="A39" s="70">
        <f t="shared" si="3"/>
        <v>56</v>
      </c>
      <c r="B39" s="129">
        <f t="shared" si="4"/>
        <v>155892.98753473468</v>
      </c>
      <c r="C39" s="128">
        <f t="shared" si="1"/>
        <v>16482403.386919824</v>
      </c>
      <c r="D39" s="130">
        <f t="shared" si="2"/>
        <v>1648240.3386919824</v>
      </c>
      <c r="E39" s="127">
        <f t="shared" si="5"/>
        <v>18130643.725611806</v>
      </c>
    </row>
    <row r="40" spans="1:5" ht="15">
      <c r="A40" s="70">
        <f t="shared" si="3"/>
        <v>57</v>
      </c>
      <c r="B40" s="129">
        <f t="shared" si="4"/>
        <v>155892.98753473468</v>
      </c>
      <c r="C40" s="128">
        <f t="shared" si="1"/>
        <v>18286536.71314654</v>
      </c>
      <c r="D40" s="130">
        <f t="shared" si="2"/>
        <v>1828653.6713146542</v>
      </c>
      <c r="E40" s="127">
        <f t="shared" si="5"/>
        <v>20115190.384461194</v>
      </c>
    </row>
    <row r="41" spans="1:5" ht="15">
      <c r="A41" s="70">
        <f t="shared" si="3"/>
        <v>58</v>
      </c>
      <c r="B41" s="129">
        <f t="shared" si="4"/>
        <v>155892.98753473468</v>
      </c>
      <c r="C41" s="128">
        <f t="shared" si="1"/>
        <v>20271083.37199593</v>
      </c>
      <c r="D41" s="130">
        <f t="shared" si="2"/>
        <v>2027108.337199593</v>
      </c>
      <c r="E41" s="127">
        <f t="shared" si="5"/>
        <v>22298191.709195524</v>
      </c>
    </row>
    <row r="42" spans="1:5" ht="15">
      <c r="A42" s="70">
        <f t="shared" si="3"/>
        <v>59</v>
      </c>
      <c r="B42" s="129">
        <f t="shared" si="4"/>
        <v>155892.98753473468</v>
      </c>
      <c r="C42" s="128">
        <f t="shared" si="1"/>
        <v>22454084.69673026</v>
      </c>
      <c r="D42" s="130">
        <f t="shared" si="2"/>
        <v>2245408.469673026</v>
      </c>
      <c r="E42" s="127">
        <f t="shared" si="5"/>
        <v>24699493.166403286</v>
      </c>
    </row>
    <row r="43" spans="1:5" ht="15">
      <c r="A43" s="70">
        <f t="shared" si="3"/>
        <v>60</v>
      </c>
      <c r="B43" s="129">
        <f t="shared" si="4"/>
        <v>155892.98753473468</v>
      </c>
      <c r="C43" s="128">
        <f>E42+B43</f>
        <v>24855386.15393802</v>
      </c>
      <c r="D43" s="130">
        <f t="shared" si="2"/>
        <v>2485538.615393802</v>
      </c>
      <c r="E43" s="127">
        <f>SUM(C43:D43)</f>
        <v>27340924.769331824</v>
      </c>
    </row>
    <row r="44" spans="1:5" ht="15">
      <c r="A44" s="126" t="s">
        <v>126</v>
      </c>
      <c r="B44" s="131">
        <f>SUM(B16:B43)</f>
        <v>4665003.650972572</v>
      </c>
      <c r="C44" s="89"/>
      <c r="D44" s="132">
        <f>SUM(D16:D43)</f>
        <v>22675921.118359245</v>
      </c>
      <c r="E44" s="89"/>
    </row>
  </sheetData>
  <sheetProtection/>
  <mergeCells count="11">
    <mergeCell ref="A6:B6"/>
    <mergeCell ref="A9:B9"/>
    <mergeCell ref="A7:B7"/>
    <mergeCell ref="A12:B12"/>
    <mergeCell ref="A11:B11"/>
    <mergeCell ref="A14:E14"/>
    <mergeCell ref="A3:B3"/>
    <mergeCell ref="A10:B10"/>
    <mergeCell ref="A8:B8"/>
    <mergeCell ref="A4:B4"/>
    <mergeCell ref="A5:B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12.8515625" style="0" customWidth="1"/>
    <col min="2" max="2" width="15.421875" style="0" bestFit="1" customWidth="1"/>
    <col min="3" max="3" width="14.140625" style="0" bestFit="1" customWidth="1"/>
    <col min="4" max="4" width="11.00390625" style="0" customWidth="1"/>
    <col min="5" max="5" width="10.8515625" style="0" bestFit="1" customWidth="1"/>
  </cols>
  <sheetData>
    <row r="1" ht="15.75">
      <c r="A1" s="107" t="s">
        <v>215</v>
      </c>
    </row>
    <row r="3" spans="1:3" ht="15">
      <c r="A3" s="225" t="s">
        <v>216</v>
      </c>
      <c r="B3" s="225"/>
      <c r="C3" s="133">
        <v>0.06</v>
      </c>
    </row>
    <row r="4" spans="1:3" ht="15">
      <c r="A4" s="225" t="s">
        <v>217</v>
      </c>
      <c r="B4" s="225"/>
      <c r="C4" s="8">
        <v>2</v>
      </c>
    </row>
    <row r="5" spans="1:3" ht="15">
      <c r="A5" s="225" t="s">
        <v>218</v>
      </c>
      <c r="B5" s="225"/>
      <c r="C5" s="8">
        <v>18</v>
      </c>
    </row>
    <row r="6" spans="1:3" ht="15">
      <c r="A6" s="225" t="s">
        <v>219</v>
      </c>
      <c r="B6" s="225"/>
      <c r="C6" s="8">
        <v>22</v>
      </c>
    </row>
    <row r="7" spans="1:4" ht="15">
      <c r="A7" s="225" t="s">
        <v>220</v>
      </c>
      <c r="B7" s="225"/>
      <c r="C7" s="13">
        <v>150000</v>
      </c>
      <c r="D7" t="s">
        <v>207</v>
      </c>
    </row>
    <row r="8" spans="1:4" ht="15">
      <c r="A8" s="225" t="s">
        <v>220</v>
      </c>
      <c r="B8" s="225"/>
      <c r="C8" s="99">
        <f>-FV(C3,C5-C4,0,C7,1)</f>
        <v>381052.752702851</v>
      </c>
      <c r="D8" t="s">
        <v>208</v>
      </c>
    </row>
    <row r="9" spans="1:3" ht="15">
      <c r="A9" s="225" t="s">
        <v>209</v>
      </c>
      <c r="B9" s="225"/>
      <c r="C9" s="94">
        <f>C8*(C6-C5)</f>
        <v>1524211.010811404</v>
      </c>
    </row>
    <row r="10" spans="1:3" ht="15">
      <c r="A10" s="225" t="s">
        <v>198</v>
      </c>
      <c r="B10" s="225"/>
      <c r="C10" s="133">
        <v>0.08</v>
      </c>
    </row>
    <row r="11" spans="1:3" ht="15">
      <c r="A11" s="225" t="s">
        <v>211</v>
      </c>
      <c r="B11" s="225"/>
      <c r="C11" s="13">
        <v>0</v>
      </c>
    </row>
    <row r="12" spans="1:3" ht="15">
      <c r="A12" s="225" t="s">
        <v>210</v>
      </c>
      <c r="B12" s="225"/>
      <c r="C12" s="94">
        <f>-PMT(C10,C5-C4,-C11,C9,1)</f>
        <v>46540.47350608062</v>
      </c>
    </row>
    <row r="14" spans="1:5" ht="15">
      <c r="A14" s="226" t="s">
        <v>214</v>
      </c>
      <c r="B14" s="227"/>
      <c r="C14" s="227"/>
      <c r="D14" s="227"/>
      <c r="E14" s="228"/>
    </row>
    <row r="15" spans="1:5" ht="15">
      <c r="A15" s="134" t="s">
        <v>212</v>
      </c>
      <c r="B15" s="135" t="s">
        <v>203</v>
      </c>
      <c r="C15" s="135" t="s">
        <v>204</v>
      </c>
      <c r="D15" s="135" t="s">
        <v>205</v>
      </c>
      <c r="E15" s="135" t="s">
        <v>206</v>
      </c>
    </row>
    <row r="16" spans="1:5" ht="15">
      <c r="A16" s="70">
        <f>C4</f>
        <v>2</v>
      </c>
      <c r="B16" s="129">
        <f>C11+C12</f>
        <v>46540.47350608062</v>
      </c>
      <c r="C16" s="128">
        <f>B16</f>
        <v>46540.47350608062</v>
      </c>
      <c r="D16" s="130">
        <f>$C$10*C16</f>
        <v>3723.2378804864497</v>
      </c>
      <c r="E16" s="127">
        <f aca="true" t="shared" si="0" ref="E16:E24">SUM(C16:D16)</f>
        <v>50263.71138656707</v>
      </c>
    </row>
    <row r="17" spans="1:5" ht="15">
      <c r="A17" s="70">
        <f>A16+1</f>
        <v>3</v>
      </c>
      <c r="B17" s="129">
        <f>$C$12</f>
        <v>46540.47350608062</v>
      </c>
      <c r="C17" s="128">
        <f aca="true" t="shared" si="1" ref="C17:C31">E16+B17</f>
        <v>96804.1848926477</v>
      </c>
      <c r="D17" s="130">
        <f aca="true" t="shared" si="2" ref="D17:D31">$C$10*C17</f>
        <v>7744.334791411816</v>
      </c>
      <c r="E17" s="127">
        <f t="shared" si="0"/>
        <v>104548.51968405952</v>
      </c>
    </row>
    <row r="18" spans="1:5" ht="15">
      <c r="A18" s="70">
        <f aca="true" t="shared" si="3" ref="A18:A31">A17+1</f>
        <v>4</v>
      </c>
      <c r="B18" s="129">
        <f aca="true" t="shared" si="4" ref="B18:B31">$C$12</f>
        <v>46540.47350608062</v>
      </c>
      <c r="C18" s="128">
        <f t="shared" si="1"/>
        <v>151088.99319014014</v>
      </c>
      <c r="D18" s="130">
        <f t="shared" si="2"/>
        <v>12087.119455211212</v>
      </c>
      <c r="E18" s="127">
        <f t="shared" si="0"/>
        <v>163176.11264535136</v>
      </c>
    </row>
    <row r="19" spans="1:5" ht="15">
      <c r="A19" s="70">
        <f t="shared" si="3"/>
        <v>5</v>
      </c>
      <c r="B19" s="129">
        <f t="shared" si="4"/>
        <v>46540.47350608062</v>
      </c>
      <c r="C19" s="128">
        <f t="shared" si="1"/>
        <v>209716.58615143198</v>
      </c>
      <c r="D19" s="130">
        <f t="shared" si="2"/>
        <v>16777.326892114557</v>
      </c>
      <c r="E19" s="127">
        <f t="shared" si="0"/>
        <v>226493.91304354655</v>
      </c>
    </row>
    <row r="20" spans="1:5" ht="15">
      <c r="A20" s="70">
        <f t="shared" si="3"/>
        <v>6</v>
      </c>
      <c r="B20" s="129">
        <f t="shared" si="4"/>
        <v>46540.47350608062</v>
      </c>
      <c r="C20" s="128">
        <f t="shared" si="1"/>
        <v>273034.3865496272</v>
      </c>
      <c r="D20" s="130">
        <f t="shared" si="2"/>
        <v>21842.750923970176</v>
      </c>
      <c r="E20" s="127">
        <f t="shared" si="0"/>
        <v>294877.13747359737</v>
      </c>
    </row>
    <row r="21" spans="1:5" ht="15">
      <c r="A21" s="70">
        <f t="shared" si="3"/>
        <v>7</v>
      </c>
      <c r="B21" s="129">
        <f t="shared" si="4"/>
        <v>46540.47350608062</v>
      </c>
      <c r="C21" s="128">
        <f t="shared" si="1"/>
        <v>341417.610979678</v>
      </c>
      <c r="D21" s="130">
        <f t="shared" si="2"/>
        <v>27313.40887837424</v>
      </c>
      <c r="E21" s="127">
        <f t="shared" si="0"/>
        <v>368731.01985805226</v>
      </c>
    </row>
    <row r="22" spans="1:5" ht="15">
      <c r="A22" s="70">
        <f t="shared" si="3"/>
        <v>8</v>
      </c>
      <c r="B22" s="129">
        <f t="shared" si="4"/>
        <v>46540.47350608062</v>
      </c>
      <c r="C22" s="128">
        <f t="shared" si="1"/>
        <v>415271.4933641329</v>
      </c>
      <c r="D22" s="130">
        <f t="shared" si="2"/>
        <v>33221.71946913063</v>
      </c>
      <c r="E22" s="127">
        <f t="shared" si="0"/>
        <v>448493.2128332635</v>
      </c>
    </row>
    <row r="23" spans="1:5" ht="15">
      <c r="A23" s="70">
        <f t="shared" si="3"/>
        <v>9</v>
      </c>
      <c r="B23" s="129">
        <f t="shared" si="4"/>
        <v>46540.47350608062</v>
      </c>
      <c r="C23" s="128">
        <f t="shared" si="1"/>
        <v>495033.68633934413</v>
      </c>
      <c r="D23" s="130">
        <f t="shared" si="2"/>
        <v>39602.69490714753</v>
      </c>
      <c r="E23" s="127">
        <f t="shared" si="0"/>
        <v>534636.3812464917</v>
      </c>
    </row>
    <row r="24" spans="1:5" ht="15">
      <c r="A24" s="70">
        <f t="shared" si="3"/>
        <v>10</v>
      </c>
      <c r="B24" s="129">
        <f t="shared" si="4"/>
        <v>46540.47350608062</v>
      </c>
      <c r="C24" s="128">
        <f t="shared" si="1"/>
        <v>581176.8547525723</v>
      </c>
      <c r="D24" s="130">
        <f t="shared" si="2"/>
        <v>46494.148380205785</v>
      </c>
      <c r="E24" s="127">
        <f t="shared" si="0"/>
        <v>627671.003132778</v>
      </c>
    </row>
    <row r="25" spans="1:5" ht="15">
      <c r="A25" s="70">
        <f t="shared" si="3"/>
        <v>11</v>
      </c>
      <c r="B25" s="129">
        <f t="shared" si="4"/>
        <v>46540.47350608062</v>
      </c>
      <c r="C25" s="128">
        <f t="shared" si="1"/>
        <v>674211.4766388586</v>
      </c>
      <c r="D25" s="130">
        <f t="shared" si="2"/>
        <v>53936.91813110869</v>
      </c>
      <c r="E25" s="127">
        <f aca="true" t="shared" si="5" ref="E25:E31">SUM(C25:D25)</f>
        <v>728148.3947699673</v>
      </c>
    </row>
    <row r="26" spans="1:5" ht="15">
      <c r="A26" s="70">
        <f t="shared" si="3"/>
        <v>12</v>
      </c>
      <c r="B26" s="129">
        <f t="shared" si="4"/>
        <v>46540.47350608062</v>
      </c>
      <c r="C26" s="128">
        <f t="shared" si="1"/>
        <v>774688.8682760479</v>
      </c>
      <c r="D26" s="130">
        <f t="shared" si="2"/>
        <v>61975.109462083834</v>
      </c>
      <c r="E26" s="127">
        <f t="shared" si="5"/>
        <v>836663.9777381317</v>
      </c>
    </row>
    <row r="27" spans="1:5" ht="15">
      <c r="A27" s="70">
        <f t="shared" si="3"/>
        <v>13</v>
      </c>
      <c r="B27" s="129">
        <f t="shared" si="4"/>
        <v>46540.47350608062</v>
      </c>
      <c r="C27" s="128">
        <f t="shared" si="1"/>
        <v>883204.4512442122</v>
      </c>
      <c r="D27" s="130">
        <f t="shared" si="2"/>
        <v>70656.35609953698</v>
      </c>
      <c r="E27" s="127">
        <f t="shared" si="5"/>
        <v>953860.8073437492</v>
      </c>
    </row>
    <row r="28" spans="1:5" ht="15">
      <c r="A28" s="70">
        <f t="shared" si="3"/>
        <v>14</v>
      </c>
      <c r="B28" s="129">
        <f t="shared" si="4"/>
        <v>46540.47350608062</v>
      </c>
      <c r="C28" s="128">
        <f t="shared" si="1"/>
        <v>1000401.2808498298</v>
      </c>
      <c r="D28" s="130">
        <f t="shared" si="2"/>
        <v>80032.10246798639</v>
      </c>
      <c r="E28" s="127">
        <f t="shared" si="5"/>
        <v>1080433.383317816</v>
      </c>
    </row>
    <row r="29" spans="1:5" ht="15">
      <c r="A29" s="70">
        <f t="shared" si="3"/>
        <v>15</v>
      </c>
      <c r="B29" s="129">
        <f t="shared" si="4"/>
        <v>46540.47350608062</v>
      </c>
      <c r="C29" s="128">
        <f t="shared" si="1"/>
        <v>1126973.8568238968</v>
      </c>
      <c r="D29" s="130">
        <f t="shared" si="2"/>
        <v>90157.90854591175</v>
      </c>
      <c r="E29" s="127">
        <f t="shared" si="5"/>
        <v>1217131.7653698085</v>
      </c>
    </row>
    <row r="30" spans="1:5" ht="15">
      <c r="A30" s="70">
        <f t="shared" si="3"/>
        <v>16</v>
      </c>
      <c r="B30" s="129">
        <f t="shared" si="4"/>
        <v>46540.47350608062</v>
      </c>
      <c r="C30" s="128">
        <f t="shared" si="1"/>
        <v>1263672.2388758892</v>
      </c>
      <c r="D30" s="130">
        <f t="shared" si="2"/>
        <v>101093.77911007113</v>
      </c>
      <c r="E30" s="127">
        <f t="shared" si="5"/>
        <v>1364766.0179859605</v>
      </c>
    </row>
    <row r="31" spans="1:5" ht="15">
      <c r="A31" s="70">
        <f t="shared" si="3"/>
        <v>17</v>
      </c>
      <c r="B31" s="129">
        <f t="shared" si="4"/>
        <v>46540.47350608062</v>
      </c>
      <c r="C31" s="128">
        <f t="shared" si="1"/>
        <v>1411306.4914920412</v>
      </c>
      <c r="D31" s="130">
        <f t="shared" si="2"/>
        <v>112904.51931936329</v>
      </c>
      <c r="E31" s="127">
        <f t="shared" si="5"/>
        <v>1524211.0108114043</v>
      </c>
    </row>
    <row r="32" spans="1:5" ht="15">
      <c r="A32" s="126" t="s">
        <v>126</v>
      </c>
      <c r="B32" s="131">
        <f>SUM(B16:B31)</f>
        <v>744647.5760972897</v>
      </c>
      <c r="C32" s="89"/>
      <c r="D32" s="132">
        <f>SUM(D16:D31)</f>
        <v>779563.4347141145</v>
      </c>
      <c r="E32" s="89"/>
    </row>
  </sheetData>
  <sheetProtection/>
  <mergeCells count="11">
    <mergeCell ref="A9:B9"/>
    <mergeCell ref="A10:B10"/>
    <mergeCell ref="A11:B11"/>
    <mergeCell ref="A12:B12"/>
    <mergeCell ref="A14:E14"/>
    <mergeCell ref="A3:B3"/>
    <mergeCell ref="A4:B4"/>
    <mergeCell ref="A5:B5"/>
    <mergeCell ref="A6:B6"/>
    <mergeCell ref="A7:B7"/>
    <mergeCell ref="A8:B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F37" sqref="F37"/>
    </sheetView>
  </sheetViews>
  <sheetFormatPr defaultColWidth="9.140625" defaultRowHeight="15"/>
  <cols>
    <col min="1" max="1" width="64.8515625" style="0" bestFit="1" customWidth="1"/>
    <col min="2" max="2" width="16.57421875" style="0" customWidth="1"/>
    <col min="3" max="3" width="16.28125" style="0" bestFit="1" customWidth="1"/>
    <col min="4" max="4" width="15.7109375" style="0" customWidth="1"/>
    <col min="5" max="5" width="12.140625" style="0" bestFit="1" customWidth="1"/>
  </cols>
  <sheetData>
    <row r="1" spans="1:2" ht="24.75" customHeight="1">
      <c r="A1" s="236" t="s">
        <v>263</v>
      </c>
      <c r="B1" s="236"/>
    </row>
    <row r="2" spans="1:4" ht="30">
      <c r="A2" s="156" t="s">
        <v>221</v>
      </c>
      <c r="B2" s="157" t="s">
        <v>265</v>
      </c>
      <c r="C2" s="158" t="s">
        <v>266</v>
      </c>
      <c r="D2" s="158" t="s">
        <v>249</v>
      </c>
    </row>
    <row r="3" spans="1:4" ht="30">
      <c r="A3" s="160" t="s">
        <v>269</v>
      </c>
      <c r="B3" s="161">
        <v>0.4</v>
      </c>
      <c r="C3" s="162">
        <v>900000</v>
      </c>
      <c r="D3" s="163">
        <f>IF(B3*C3&lt;60000,C3*(1-B3),C3-60000)</f>
        <v>840000</v>
      </c>
    </row>
    <row r="4" spans="1:4" ht="15">
      <c r="A4" s="140" t="s">
        <v>268</v>
      </c>
      <c r="B4" s="154">
        <v>0.4</v>
      </c>
      <c r="C4" s="137"/>
      <c r="D4" s="145">
        <f>IF(B4*C4&lt;60000,C4*(1-B4),C4-60000)</f>
        <v>0</v>
      </c>
    </row>
    <row r="5" spans="1:4" ht="15">
      <c r="A5" s="140" t="s">
        <v>244</v>
      </c>
      <c r="B5" s="154">
        <v>0</v>
      </c>
      <c r="C5" s="137"/>
      <c r="D5" s="145">
        <f>C5</f>
        <v>0</v>
      </c>
    </row>
    <row r="6" spans="1:4" ht="15">
      <c r="A6" s="140" t="s">
        <v>245</v>
      </c>
      <c r="B6" s="154">
        <v>0.3</v>
      </c>
      <c r="C6" s="137"/>
      <c r="D6" s="145">
        <f>C6*(1-B6)</f>
        <v>0</v>
      </c>
    </row>
    <row r="7" spans="1:4" ht="15">
      <c r="A7" s="140" t="s">
        <v>246</v>
      </c>
      <c r="B7" s="154">
        <v>0.6</v>
      </c>
      <c r="C7" s="137"/>
      <c r="D7" s="145">
        <f>C7*(1-B7)</f>
        <v>0</v>
      </c>
    </row>
    <row r="8" spans="1:4" ht="15">
      <c r="A8" s="140" t="s">
        <v>247</v>
      </c>
      <c r="B8" s="154">
        <v>0.3</v>
      </c>
      <c r="C8" s="137"/>
      <c r="D8" s="145">
        <f>C8*(1-B8)</f>
        <v>0</v>
      </c>
    </row>
    <row r="9" spans="1:4" ht="15">
      <c r="A9" s="140" t="s">
        <v>248</v>
      </c>
      <c r="B9" s="154">
        <v>0.7</v>
      </c>
      <c r="C9" s="137"/>
      <c r="D9" s="145">
        <f>C9*(1-B9)</f>
        <v>0</v>
      </c>
    </row>
    <row r="10" spans="1:4" ht="15">
      <c r="A10" s="141" t="s">
        <v>250</v>
      </c>
      <c r="B10" s="155">
        <v>0.61</v>
      </c>
      <c r="C10" s="138"/>
      <c r="D10" s="146">
        <f>C10*(1-B10)</f>
        <v>0</v>
      </c>
    </row>
    <row r="11" spans="1:4" ht="15">
      <c r="A11" s="237" t="s">
        <v>126</v>
      </c>
      <c r="B11" s="237"/>
      <c r="C11" s="142">
        <f>SUM(C3:C10)</f>
        <v>900000</v>
      </c>
      <c r="D11" s="143">
        <f>SUM(D3:D10)</f>
        <v>840000</v>
      </c>
    </row>
    <row r="12" spans="1:4" ht="30">
      <c r="A12" s="238" t="s">
        <v>222</v>
      </c>
      <c r="B12" s="238"/>
      <c r="C12" s="159" t="s">
        <v>267</v>
      </c>
      <c r="D12" s="158" t="s">
        <v>252</v>
      </c>
    </row>
    <row r="13" spans="1:4" ht="15">
      <c r="A13" s="239" t="s">
        <v>224</v>
      </c>
      <c r="B13" s="240"/>
      <c r="C13" s="136">
        <v>30000</v>
      </c>
      <c r="D13" s="144">
        <f>D11-C13</f>
        <v>810000</v>
      </c>
    </row>
    <row r="14" spans="1:4" ht="15">
      <c r="A14" s="229" t="s">
        <v>223</v>
      </c>
      <c r="B14" s="230"/>
      <c r="C14" s="137"/>
      <c r="D14" s="145">
        <f>D13-C14</f>
        <v>810000</v>
      </c>
    </row>
    <row r="15" spans="1:4" ht="15">
      <c r="A15" s="229" t="s">
        <v>225</v>
      </c>
      <c r="B15" s="230"/>
      <c r="C15" s="137"/>
      <c r="D15" s="145">
        <f aca="true" t="shared" si="0" ref="D15:D30">D14-C15</f>
        <v>810000</v>
      </c>
    </row>
    <row r="16" spans="1:4" ht="15">
      <c r="A16" s="229" t="s">
        <v>226</v>
      </c>
      <c r="B16" s="230"/>
      <c r="C16" s="137"/>
      <c r="D16" s="145">
        <f t="shared" si="0"/>
        <v>810000</v>
      </c>
    </row>
    <row r="17" spans="1:4" ht="15">
      <c r="A17" s="229" t="s">
        <v>227</v>
      </c>
      <c r="B17" s="230"/>
      <c r="C17" s="137"/>
      <c r="D17" s="145">
        <f t="shared" si="0"/>
        <v>810000</v>
      </c>
    </row>
    <row r="18" spans="1:5" ht="15">
      <c r="A18" s="229" t="s">
        <v>228</v>
      </c>
      <c r="B18" s="230"/>
      <c r="C18" s="137"/>
      <c r="D18" s="145">
        <f t="shared" si="0"/>
        <v>810000</v>
      </c>
      <c r="E18" s="152" t="s">
        <v>264</v>
      </c>
    </row>
    <row r="19" spans="1:5" ht="15">
      <c r="A19" s="234" t="s">
        <v>229</v>
      </c>
      <c r="B19" s="234"/>
      <c r="C19" s="139"/>
      <c r="D19" s="147">
        <f t="shared" si="0"/>
        <v>810000</v>
      </c>
      <c r="E19" s="143">
        <f>IF(C19&lt;100000,100000-C19,0)</f>
        <v>100000</v>
      </c>
    </row>
    <row r="20" spans="1:5" ht="15">
      <c r="A20" s="234" t="s">
        <v>230</v>
      </c>
      <c r="B20" s="234"/>
      <c r="C20" s="139"/>
      <c r="D20" s="147">
        <f t="shared" si="0"/>
        <v>810000</v>
      </c>
      <c r="E20" s="143">
        <f>IF(C20&lt;10000,10000-C20,0)</f>
        <v>10000</v>
      </c>
    </row>
    <row r="21" spans="1:5" ht="15">
      <c r="A21" s="234" t="s">
        <v>234</v>
      </c>
      <c r="B21" s="234"/>
      <c r="C21" s="139"/>
      <c r="D21" s="147">
        <f t="shared" si="0"/>
        <v>810000</v>
      </c>
      <c r="E21" s="143">
        <f>IF(C21&lt;15000,15000-C21,0)</f>
        <v>15000</v>
      </c>
    </row>
    <row r="22" spans="1:5" ht="15">
      <c r="A22" s="153" t="s">
        <v>231</v>
      </c>
      <c r="B22" s="233" t="s">
        <v>238</v>
      </c>
      <c r="C22" s="139"/>
      <c r="D22" s="147">
        <f t="shared" si="0"/>
        <v>810000</v>
      </c>
      <c r="E22" s="143">
        <f>IF((0.15*$C$11)&lt;200000,IF(C22&lt;(0.15*$C$11),(0.15*$C$11)-C22,0),IF(C22&lt;200000,200000-C22,0))</f>
        <v>135000</v>
      </c>
    </row>
    <row r="23" spans="1:5" ht="15">
      <c r="A23" s="153" t="s">
        <v>232</v>
      </c>
      <c r="B23" s="233"/>
      <c r="C23" s="139"/>
      <c r="D23" s="147">
        <f t="shared" si="0"/>
        <v>810000</v>
      </c>
      <c r="E23" s="143">
        <f>IF(C23&lt;(0.15*$C$11),(0.15*$C$11)-C23,0)</f>
        <v>135000</v>
      </c>
    </row>
    <row r="24" spans="1:5" ht="15">
      <c r="A24" s="153" t="s">
        <v>233</v>
      </c>
      <c r="B24" s="233"/>
      <c r="C24" s="139"/>
      <c r="D24" s="147">
        <f t="shared" si="0"/>
        <v>810000</v>
      </c>
      <c r="E24" s="143">
        <f>IF(C24&lt;500000,500000-C24,0)</f>
        <v>500000</v>
      </c>
    </row>
    <row r="25" spans="1:5" ht="15">
      <c r="A25" s="153" t="s">
        <v>237</v>
      </c>
      <c r="B25" s="233"/>
      <c r="C25" s="139"/>
      <c r="D25" s="147">
        <f t="shared" si="0"/>
        <v>810000</v>
      </c>
      <c r="E25" s="143">
        <f>IF(C25&lt;500000,500000-C25,0)</f>
        <v>500000</v>
      </c>
    </row>
    <row r="26" spans="1:5" ht="15">
      <c r="A26" s="153" t="s">
        <v>235</v>
      </c>
      <c r="B26" s="233"/>
      <c r="C26" s="139"/>
      <c r="D26" s="147">
        <f t="shared" si="0"/>
        <v>810000</v>
      </c>
      <c r="E26" s="143">
        <f>IF(C26&lt;(0.15*$C$11),(0.15*$C$11)-C26,0)</f>
        <v>135000</v>
      </c>
    </row>
    <row r="27" spans="1:5" ht="15">
      <c r="A27" s="234" t="s">
        <v>236</v>
      </c>
      <c r="B27" s="234"/>
      <c r="C27" s="139"/>
      <c r="D27" s="147">
        <f t="shared" si="0"/>
        <v>810000</v>
      </c>
      <c r="E27" s="143">
        <f>IF((0.15*$C$11)&lt;500000,IF(C27&lt;(0.15*$C$11),(0.15*$C$11)-C27,0),IF(C27&lt;500000,500000-C27,0))</f>
        <v>135000</v>
      </c>
    </row>
    <row r="28" spans="1:4" ht="15">
      <c r="A28" s="229" t="s">
        <v>239</v>
      </c>
      <c r="B28" s="230"/>
      <c r="C28" s="137"/>
      <c r="D28" s="145">
        <f t="shared" si="0"/>
        <v>810000</v>
      </c>
    </row>
    <row r="29" spans="1:4" ht="15">
      <c r="A29" s="229" t="s">
        <v>240</v>
      </c>
      <c r="B29" s="230"/>
      <c r="C29" s="137"/>
      <c r="D29" s="145">
        <f t="shared" si="0"/>
        <v>810000</v>
      </c>
    </row>
    <row r="30" spans="1:4" ht="15">
      <c r="A30" s="231" t="s">
        <v>241</v>
      </c>
      <c r="B30" s="232"/>
      <c r="C30" s="138">
        <v>9000</v>
      </c>
      <c r="D30" s="146">
        <f t="shared" si="0"/>
        <v>801000</v>
      </c>
    </row>
    <row r="31" spans="1:4" ht="15">
      <c r="A31" s="235" t="s">
        <v>243</v>
      </c>
      <c r="B31" s="235"/>
      <c r="C31" s="235"/>
      <c r="D31" s="143">
        <f>D30</f>
        <v>801000</v>
      </c>
    </row>
    <row r="32" spans="1:4" ht="15">
      <c r="A32" s="234" t="s">
        <v>242</v>
      </c>
      <c r="B32" s="234"/>
      <c r="C32" s="139"/>
      <c r="D32" s="147">
        <f>D31-C32</f>
        <v>801000</v>
      </c>
    </row>
    <row r="33" spans="3:4" ht="15.75" thickBot="1">
      <c r="C33" s="149" t="s">
        <v>251</v>
      </c>
      <c r="D33" s="150">
        <f>D32</f>
        <v>801000</v>
      </c>
    </row>
    <row r="34" ht="15.75" thickTop="1"/>
    <row r="35" spans="1:3" ht="15">
      <c r="A35" s="15" t="s">
        <v>259</v>
      </c>
      <c r="B35" s="15" t="s">
        <v>260</v>
      </c>
      <c r="C35" s="15" t="s">
        <v>262</v>
      </c>
    </row>
    <row r="36" spans="1:3" ht="15">
      <c r="A36" s="49" t="s">
        <v>261</v>
      </c>
      <c r="B36" s="147">
        <f>IF(AND($D$33&lt;300000,$D$33&gt;150000),($D$33-150000)*0.05,IF($D$33&gt;300000,7500,0))</f>
        <v>7500</v>
      </c>
      <c r="C36" s="147">
        <f>IF(AND($D$33&lt;300000,$D$33&gt;150000),$D$33-150000,IF($D$33&gt;300000,150000,0))</f>
        <v>150000</v>
      </c>
    </row>
    <row r="37" spans="1:3" ht="15">
      <c r="A37" s="49" t="s">
        <v>253</v>
      </c>
      <c r="B37" s="147">
        <f>IF(AND($D$33&lt;500000,$D$33&gt;300000),($D$33-300000)*0.1,IF($D$33&gt;500000,20000,0))</f>
        <v>20000</v>
      </c>
      <c r="C37" s="147">
        <f>IF(AND($D$33&lt;500000,$D$33&gt;300000),$D$33-300000,IF($D$33&gt;500000,200000,0))</f>
        <v>200000</v>
      </c>
    </row>
    <row r="38" spans="1:3" ht="15">
      <c r="A38" s="49" t="s">
        <v>254</v>
      </c>
      <c r="B38" s="147">
        <f>IF(AND($D$33&lt;750000,$D$33&gt;500000),($D$33-500000)*0.15,IF($D$33&gt;750000,37500,0))</f>
        <v>37500</v>
      </c>
      <c r="C38" s="147">
        <f>IF(AND($D$33&lt;750000,$D$33&gt;500000),$D$33-500000,IF($D$33&gt;750000,250000,0))</f>
        <v>250000</v>
      </c>
    </row>
    <row r="39" spans="1:3" ht="15">
      <c r="A39" s="49" t="s">
        <v>255</v>
      </c>
      <c r="B39" s="147">
        <f>IF(AND($D$33&lt;1000000,$D$33&gt;750000),($D$33-750000)*0.2,IF($D$33&gt;1000000,50000,0))</f>
        <v>10200</v>
      </c>
      <c r="C39" s="147">
        <f>IF(AND($D$33&lt;1000000,$D$33&gt;750000),$D$33-750000,IF($D$33&gt;1000000,250000,0))</f>
        <v>51000</v>
      </c>
    </row>
    <row r="40" spans="1:3" ht="15">
      <c r="A40" s="49" t="s">
        <v>256</v>
      </c>
      <c r="B40" s="147">
        <f>IF(AND($D$33&lt;2000000,$D$33&gt;1000000),($D$33-1000000)*0.25,IF($D$33&gt;2000000,250000,0))</f>
        <v>0</v>
      </c>
      <c r="C40" s="147">
        <f>IF(AND($D$33&lt;2000000,$D$33&gt;1000000),$D$33-1000000,IF($D$33&gt;2000000,1000000,0))</f>
        <v>0</v>
      </c>
    </row>
    <row r="41" spans="1:3" ht="15">
      <c r="A41" s="49" t="s">
        <v>257</v>
      </c>
      <c r="B41" s="147">
        <f>IF(AND($D$33&lt;4000000,$D$33&gt;2000000),($D$33-2000000)*0.3,IF($D$33&gt;4000000,600000,0))</f>
        <v>0</v>
      </c>
      <c r="C41" s="147">
        <f>IF(AND($D$33&lt;4000000,$D$33&gt;2000000),$D$33-2000000,IF($D$33&gt;4000000,2000000,0))</f>
        <v>0</v>
      </c>
    </row>
    <row r="42" spans="1:3" ht="15">
      <c r="A42" s="49" t="s">
        <v>258</v>
      </c>
      <c r="B42" s="147">
        <f>IF($D$33&gt;4000000,($D$33-4000000)*0.35,0)</f>
        <v>0</v>
      </c>
      <c r="C42" s="147">
        <f>IF($D$33&gt;4000000,$D$33-4000000,0)</f>
        <v>0</v>
      </c>
    </row>
    <row r="43" spans="1:3" ht="15">
      <c r="A43" s="151" t="s">
        <v>126</v>
      </c>
      <c r="B43" s="148">
        <f>SUM(B36:B42)</f>
        <v>75200</v>
      </c>
      <c r="C43" s="148">
        <f>SUM(C36:C42)</f>
        <v>651000</v>
      </c>
    </row>
  </sheetData>
  <sheetProtection/>
  <mergeCells count="19">
    <mergeCell ref="A1:B1"/>
    <mergeCell ref="A11:B11"/>
    <mergeCell ref="A12:B12"/>
    <mergeCell ref="A13:B13"/>
    <mergeCell ref="A14:B14"/>
    <mergeCell ref="A15:B15"/>
    <mergeCell ref="A32:B32"/>
    <mergeCell ref="A31:C31"/>
    <mergeCell ref="A20:B20"/>
    <mergeCell ref="A21:B21"/>
    <mergeCell ref="A27:B27"/>
    <mergeCell ref="A28:B28"/>
    <mergeCell ref="A29:B29"/>
    <mergeCell ref="A30:B30"/>
    <mergeCell ref="B22:B26"/>
    <mergeCell ref="A16:B16"/>
    <mergeCell ref="A17:B17"/>
    <mergeCell ref="A18:B18"/>
    <mergeCell ref="A19:B19"/>
  </mergeCells>
  <printOptions/>
  <pageMargins left="0.7" right="0.7" top="0.75" bottom="0.75" header="0.3" footer="0.3"/>
  <pageSetup orientation="portrait" paperSize="9"/>
  <ignoredErrors>
    <ignoredError sqref="D31:D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แผนการเงินส่วนบุคคล</dc:title>
  <dc:subject/>
  <dc:creator>ธนวัฒน์ มโนลม้าย</dc:creator>
  <cp:keywords/>
  <dc:description>วางแผนการเงินส่วนบุคคลอย่างง่าย</dc:description>
  <cp:lastModifiedBy/>
  <dcterms:created xsi:type="dcterms:W3CDTF">2006-09-16T00:00:00Z</dcterms:created>
  <dcterms:modified xsi:type="dcterms:W3CDTF">2014-11-11T03:18:52Z</dcterms:modified>
  <cp:category>Personal Finance</cp:category>
  <cp:version/>
  <cp:contentType/>
  <cp:contentStatus/>
</cp:coreProperties>
</file>